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S:\Fiscal Rules\Assessment Spreadsheet\"/>
    </mc:Choice>
  </mc:AlternateContent>
  <xr:revisionPtr revIDLastSave="0" documentId="13_ncr:1_{183445CE-96FE-4A64-BE81-98F3A0CFA290}" xr6:coauthVersionLast="41" xr6:coauthVersionMax="41" xr10:uidLastSave="{00000000-0000-0000-0000-000000000000}"/>
  <bookViews>
    <workbookView xWindow="-120" yWindow="-120" windowWidth="25440" windowHeight="15390" activeTab="3" xr2:uid="{00000000-000D-0000-FFFF-FFFF00000000}"/>
  </bookViews>
  <sheets>
    <sheet name="Readme" sheetId="4" r:id="rId1"/>
    <sheet name="Historical Data" sheetId="1" r:id="rId2"/>
    <sheet name="Forecast Estimates" sheetId="2" r:id="rId3"/>
    <sheet name="Assessment Domestic Fiscal Rul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2" i="3" l="1"/>
  <c r="B123" i="3" s="1"/>
  <c r="B124" i="3" s="1"/>
  <c r="V29" i="2" l="1"/>
  <c r="W29" i="2"/>
  <c r="X29" i="2"/>
  <c r="Y29" i="2"/>
  <c r="Z29" i="2"/>
  <c r="U29" i="2"/>
  <c r="K29" i="2"/>
  <c r="L29" i="2"/>
  <c r="M29" i="2"/>
  <c r="N29" i="2"/>
  <c r="O29" i="2"/>
  <c r="P29" i="2"/>
  <c r="Q29" i="2"/>
  <c r="R29" i="2"/>
  <c r="S29" i="2"/>
  <c r="T29" i="2"/>
  <c r="I131" i="3" l="1"/>
  <c r="J131" i="3"/>
  <c r="K131" i="3"/>
  <c r="L131" i="3"/>
  <c r="M131" i="3"/>
  <c r="N131" i="3"/>
  <c r="O131" i="3"/>
  <c r="P131" i="3"/>
  <c r="Q131" i="3"/>
  <c r="R131" i="3"/>
  <c r="S131" i="3"/>
  <c r="U131" i="3"/>
  <c r="V131" i="3"/>
  <c r="W131" i="3"/>
  <c r="X131" i="3"/>
  <c r="Y131" i="3"/>
  <c r="Z131" i="3"/>
  <c r="T131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B14" i="3"/>
  <c r="U134" i="3"/>
  <c r="V134" i="3"/>
  <c r="W134" i="3"/>
  <c r="X134" i="3"/>
  <c r="Y134" i="3"/>
  <c r="Z134" i="3"/>
  <c r="C131" i="3"/>
  <c r="D131" i="3"/>
  <c r="E131" i="3"/>
  <c r="F131" i="3"/>
  <c r="G131" i="3"/>
  <c r="H131" i="3"/>
  <c r="Z41" i="3"/>
  <c r="Z42" i="3"/>
  <c r="Z113" i="3" s="1"/>
  <c r="Z57" i="3"/>
  <c r="Z58" i="3"/>
  <c r="Z77" i="3" s="1"/>
  <c r="Z60" i="3"/>
  <c r="Z78" i="3" s="1"/>
  <c r="Z61" i="3"/>
  <c r="Z80" i="3" s="1"/>
  <c r="Z62" i="3"/>
  <c r="Z79" i="3" s="1"/>
  <c r="Z63" i="3"/>
  <c r="Z64" i="3"/>
  <c r="Z67" i="3"/>
  <c r="Z142" i="3" s="1"/>
  <c r="Z69" i="3"/>
  <c r="Z43" i="3" s="1"/>
  <c r="Z70" i="3"/>
  <c r="Z71" i="3"/>
  <c r="Z83" i="3" s="1"/>
  <c r="Z72" i="3"/>
  <c r="Z73" i="3"/>
  <c r="Z85" i="3" s="1"/>
  <c r="Z130" i="3"/>
  <c r="Z135" i="3"/>
  <c r="Z150" i="3"/>
  <c r="Z156" i="3" s="1"/>
  <c r="Z155" i="3"/>
  <c r="Z112" i="3" l="1"/>
  <c r="Z170" i="3"/>
  <c r="Z59" i="3"/>
  <c r="Z51" i="3"/>
  <c r="T64" i="3"/>
  <c r="U64" i="3"/>
  <c r="V64" i="3"/>
  <c r="W64" i="3"/>
  <c r="X64" i="3"/>
  <c r="Y64" i="3"/>
  <c r="C23" i="2"/>
  <c r="C64" i="3" s="1"/>
  <c r="D23" i="2"/>
  <c r="D64" i="3" s="1"/>
  <c r="E23" i="2"/>
  <c r="E64" i="3" s="1"/>
  <c r="F23" i="2"/>
  <c r="F64" i="3" s="1"/>
  <c r="G23" i="2"/>
  <c r="G64" i="3" s="1"/>
  <c r="H23" i="2"/>
  <c r="H64" i="3" s="1"/>
  <c r="I23" i="2"/>
  <c r="I64" i="3" s="1"/>
  <c r="J23" i="2"/>
  <c r="J64" i="3" s="1"/>
  <c r="K23" i="2"/>
  <c r="K64" i="3" s="1"/>
  <c r="L23" i="2"/>
  <c r="L64" i="3" s="1"/>
  <c r="M23" i="2"/>
  <c r="M64" i="3" s="1"/>
  <c r="N23" i="2"/>
  <c r="N64" i="3" s="1"/>
  <c r="O23" i="2"/>
  <c r="O64" i="3" s="1"/>
  <c r="P23" i="2"/>
  <c r="P64" i="3" s="1"/>
  <c r="Q23" i="2"/>
  <c r="Q64" i="3" s="1"/>
  <c r="R23" i="2"/>
  <c r="R64" i="3" s="1"/>
  <c r="S23" i="2"/>
  <c r="S64" i="3" s="1"/>
  <c r="B23" i="2"/>
  <c r="B64" i="3" s="1"/>
  <c r="Z179" i="3" l="1"/>
  <c r="Z176" i="3"/>
  <c r="Z186" i="3" s="1"/>
  <c r="Z178" i="3"/>
  <c r="Z188" i="3" s="1"/>
  <c r="Z177" i="3"/>
  <c r="Z187" i="3" s="1"/>
  <c r="B131" i="3"/>
  <c r="B132" i="3" s="1"/>
  <c r="U130" i="3"/>
  <c r="V130" i="3"/>
  <c r="W130" i="3"/>
  <c r="X130" i="3"/>
  <c r="Y130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B135" i="3"/>
  <c r="U41" i="3"/>
  <c r="V41" i="3"/>
  <c r="W41" i="3"/>
  <c r="X41" i="3"/>
  <c r="Y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B42" i="3"/>
  <c r="U57" i="3"/>
  <c r="V57" i="3"/>
  <c r="W57" i="3"/>
  <c r="X57" i="3"/>
  <c r="Y57" i="3"/>
  <c r="U58" i="3"/>
  <c r="U77" i="3" s="1"/>
  <c r="V58" i="3"/>
  <c r="W58" i="3"/>
  <c r="W77" i="3" s="1"/>
  <c r="X58" i="3"/>
  <c r="X77" i="3" s="1"/>
  <c r="Y58" i="3"/>
  <c r="Y77" i="3" s="1"/>
  <c r="U60" i="3"/>
  <c r="U78" i="3" s="1"/>
  <c r="V60" i="3"/>
  <c r="V78" i="3" s="1"/>
  <c r="W60" i="3"/>
  <c r="W78" i="3" s="1"/>
  <c r="X60" i="3"/>
  <c r="X78" i="3" s="1"/>
  <c r="Y60" i="3"/>
  <c r="Y78" i="3" s="1"/>
  <c r="U61" i="3"/>
  <c r="U80" i="3" s="1"/>
  <c r="V61" i="3"/>
  <c r="V80" i="3" s="1"/>
  <c r="W61" i="3"/>
  <c r="W80" i="3" s="1"/>
  <c r="X61" i="3"/>
  <c r="X80" i="3" s="1"/>
  <c r="Y61" i="3"/>
  <c r="Y80" i="3" s="1"/>
  <c r="C62" i="3"/>
  <c r="C79" i="3" s="1"/>
  <c r="D62" i="3"/>
  <c r="D79" i="3" s="1"/>
  <c r="E62" i="3"/>
  <c r="E79" i="3" s="1"/>
  <c r="F62" i="3"/>
  <c r="F79" i="3" s="1"/>
  <c r="G62" i="3"/>
  <c r="G79" i="3" s="1"/>
  <c r="H62" i="3"/>
  <c r="H79" i="3" s="1"/>
  <c r="I62" i="3"/>
  <c r="I79" i="3" s="1"/>
  <c r="J62" i="3"/>
  <c r="J79" i="3" s="1"/>
  <c r="K62" i="3"/>
  <c r="K79" i="3" s="1"/>
  <c r="L62" i="3"/>
  <c r="L79" i="3" s="1"/>
  <c r="M62" i="3"/>
  <c r="M79" i="3" s="1"/>
  <c r="N62" i="3"/>
  <c r="N79" i="3" s="1"/>
  <c r="O62" i="3"/>
  <c r="O79" i="3" s="1"/>
  <c r="P62" i="3"/>
  <c r="P79" i="3" s="1"/>
  <c r="Q62" i="3"/>
  <c r="Q79" i="3" s="1"/>
  <c r="R62" i="3"/>
  <c r="R79" i="3" s="1"/>
  <c r="S62" i="3"/>
  <c r="S79" i="3" s="1"/>
  <c r="T62" i="3"/>
  <c r="T79" i="3" s="1"/>
  <c r="U62" i="3"/>
  <c r="U79" i="3" s="1"/>
  <c r="V62" i="3"/>
  <c r="V79" i="3" s="1"/>
  <c r="W62" i="3"/>
  <c r="W79" i="3" s="1"/>
  <c r="X62" i="3"/>
  <c r="X79" i="3" s="1"/>
  <c r="Y62" i="3"/>
  <c r="Y79" i="3" s="1"/>
  <c r="U63" i="3"/>
  <c r="V63" i="3"/>
  <c r="W63" i="3"/>
  <c r="X63" i="3"/>
  <c r="Y63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169" i="3" s="1"/>
  <c r="C69" i="3"/>
  <c r="C43" i="3" s="1"/>
  <c r="D69" i="3"/>
  <c r="D43" i="3" s="1"/>
  <c r="E69" i="3"/>
  <c r="E43" i="3" s="1"/>
  <c r="F69" i="3"/>
  <c r="F43" i="3" s="1"/>
  <c r="G69" i="3"/>
  <c r="G43" i="3" s="1"/>
  <c r="H69" i="3"/>
  <c r="H43" i="3" s="1"/>
  <c r="I69" i="3"/>
  <c r="I43" i="3" s="1"/>
  <c r="J69" i="3"/>
  <c r="J43" i="3" s="1"/>
  <c r="K69" i="3"/>
  <c r="K43" i="3" s="1"/>
  <c r="L69" i="3"/>
  <c r="L43" i="3" s="1"/>
  <c r="M69" i="3"/>
  <c r="M43" i="3" s="1"/>
  <c r="N69" i="3"/>
  <c r="N43" i="3" s="1"/>
  <c r="O69" i="3"/>
  <c r="O43" i="3" s="1"/>
  <c r="P69" i="3"/>
  <c r="P43" i="3" s="1"/>
  <c r="Q69" i="3"/>
  <c r="Q43" i="3" s="1"/>
  <c r="R69" i="3"/>
  <c r="R43" i="3" s="1"/>
  <c r="S69" i="3"/>
  <c r="S43" i="3" s="1"/>
  <c r="T69" i="3"/>
  <c r="T43" i="3" s="1"/>
  <c r="U69" i="3"/>
  <c r="U43" i="3" s="1"/>
  <c r="V69" i="3"/>
  <c r="V43" i="3" s="1"/>
  <c r="W69" i="3"/>
  <c r="W43" i="3" s="1"/>
  <c r="X69" i="3"/>
  <c r="X43" i="3" s="1"/>
  <c r="Y69" i="3"/>
  <c r="Y43" i="3" s="1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C71" i="3"/>
  <c r="C83" i="3" s="1"/>
  <c r="D71" i="3"/>
  <c r="D83" i="3" s="1"/>
  <c r="E71" i="3"/>
  <c r="E83" i="3" s="1"/>
  <c r="F71" i="3"/>
  <c r="F83" i="3" s="1"/>
  <c r="G71" i="3"/>
  <c r="G83" i="3" s="1"/>
  <c r="H71" i="3"/>
  <c r="H83" i="3" s="1"/>
  <c r="I71" i="3"/>
  <c r="I83" i="3" s="1"/>
  <c r="J71" i="3"/>
  <c r="J83" i="3" s="1"/>
  <c r="K71" i="3"/>
  <c r="K83" i="3" s="1"/>
  <c r="L71" i="3"/>
  <c r="L83" i="3" s="1"/>
  <c r="M71" i="3"/>
  <c r="M83" i="3" s="1"/>
  <c r="N71" i="3"/>
  <c r="N83" i="3" s="1"/>
  <c r="O71" i="3"/>
  <c r="O83" i="3" s="1"/>
  <c r="P71" i="3"/>
  <c r="P83" i="3" s="1"/>
  <c r="Q71" i="3"/>
  <c r="Q83" i="3" s="1"/>
  <c r="R71" i="3"/>
  <c r="R83" i="3" s="1"/>
  <c r="S71" i="3"/>
  <c r="S83" i="3" s="1"/>
  <c r="T71" i="3"/>
  <c r="T83" i="3" s="1"/>
  <c r="U71" i="3"/>
  <c r="U83" i="3" s="1"/>
  <c r="V71" i="3"/>
  <c r="V83" i="3" s="1"/>
  <c r="W71" i="3"/>
  <c r="W83" i="3" s="1"/>
  <c r="X71" i="3"/>
  <c r="X83" i="3" s="1"/>
  <c r="Y71" i="3"/>
  <c r="Y83" i="3" s="1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C73" i="3"/>
  <c r="C85" i="3" s="1"/>
  <c r="D73" i="3"/>
  <c r="D85" i="3" s="1"/>
  <c r="E73" i="3"/>
  <c r="E85" i="3" s="1"/>
  <c r="F73" i="3"/>
  <c r="F85" i="3" s="1"/>
  <c r="G73" i="3"/>
  <c r="G85" i="3" s="1"/>
  <c r="H73" i="3"/>
  <c r="H85" i="3" s="1"/>
  <c r="I73" i="3"/>
  <c r="I85" i="3" s="1"/>
  <c r="J73" i="3"/>
  <c r="J85" i="3" s="1"/>
  <c r="K73" i="3"/>
  <c r="K85" i="3" s="1"/>
  <c r="L73" i="3"/>
  <c r="L85" i="3" s="1"/>
  <c r="M73" i="3"/>
  <c r="M85" i="3" s="1"/>
  <c r="N73" i="3"/>
  <c r="N85" i="3" s="1"/>
  <c r="O73" i="3"/>
  <c r="O85" i="3" s="1"/>
  <c r="P73" i="3"/>
  <c r="P85" i="3" s="1"/>
  <c r="Q73" i="3"/>
  <c r="Q85" i="3" s="1"/>
  <c r="R73" i="3"/>
  <c r="R85" i="3" s="1"/>
  <c r="S73" i="3"/>
  <c r="S85" i="3" s="1"/>
  <c r="T73" i="3"/>
  <c r="T85" i="3" s="1"/>
  <c r="U73" i="3"/>
  <c r="U85" i="3" s="1"/>
  <c r="V73" i="3"/>
  <c r="V85" i="3" s="1"/>
  <c r="W73" i="3"/>
  <c r="W85" i="3" s="1"/>
  <c r="X73" i="3"/>
  <c r="X85" i="3" s="1"/>
  <c r="Y73" i="3"/>
  <c r="Y85" i="3" s="1"/>
  <c r="B28" i="3"/>
  <c r="B72" i="3"/>
  <c r="B73" i="3"/>
  <c r="B85" i="3" s="1"/>
  <c r="B71" i="3"/>
  <c r="B83" i="3" s="1"/>
  <c r="B70" i="3"/>
  <c r="B69" i="3"/>
  <c r="B51" i="3" s="1"/>
  <c r="B67" i="3"/>
  <c r="B62" i="3"/>
  <c r="B79" i="3" s="1"/>
  <c r="K162" i="3"/>
  <c r="J162" i="3"/>
  <c r="I162" i="3"/>
  <c r="H162" i="3"/>
  <c r="G162" i="3"/>
  <c r="F162" i="3"/>
  <c r="J161" i="3"/>
  <c r="I161" i="3"/>
  <c r="H161" i="3"/>
  <c r="G161" i="3"/>
  <c r="F161" i="3"/>
  <c r="L160" i="3"/>
  <c r="K160" i="3"/>
  <c r="J160" i="3"/>
  <c r="I160" i="3"/>
  <c r="H160" i="3"/>
  <c r="G160" i="3"/>
  <c r="F160" i="3"/>
  <c r="K159" i="3"/>
  <c r="J159" i="3"/>
  <c r="I159" i="3"/>
  <c r="H159" i="3"/>
  <c r="G159" i="3"/>
  <c r="F159" i="3"/>
  <c r="Y155" i="3"/>
  <c r="Y150" i="3"/>
  <c r="Y156" i="3" s="1"/>
  <c r="R132" i="3"/>
  <c r="Q132" i="3"/>
  <c r="P132" i="3"/>
  <c r="N132" i="3"/>
  <c r="M132" i="3"/>
  <c r="L132" i="3"/>
  <c r="J132" i="3"/>
  <c r="I132" i="3"/>
  <c r="H132" i="3"/>
  <c r="F132" i="3"/>
  <c r="E132" i="3"/>
  <c r="D132" i="3"/>
  <c r="B102" i="3"/>
  <c r="Q112" i="3"/>
  <c r="B25" i="3"/>
  <c r="B192" i="3"/>
  <c r="B8" i="3"/>
  <c r="C20" i="2"/>
  <c r="C60" i="3" s="1"/>
  <c r="C78" i="3" s="1"/>
  <c r="D20" i="2"/>
  <c r="D60" i="3" s="1"/>
  <c r="D78" i="3" s="1"/>
  <c r="E20" i="2"/>
  <c r="E60" i="3" s="1"/>
  <c r="E78" i="3" s="1"/>
  <c r="F20" i="2"/>
  <c r="F60" i="3" s="1"/>
  <c r="F78" i="3" s="1"/>
  <c r="G20" i="2"/>
  <c r="G60" i="3" s="1"/>
  <c r="G78" i="3" s="1"/>
  <c r="H20" i="2"/>
  <c r="H60" i="3" s="1"/>
  <c r="H78" i="3" s="1"/>
  <c r="I20" i="2"/>
  <c r="I60" i="3" s="1"/>
  <c r="I78" i="3" s="1"/>
  <c r="J20" i="2"/>
  <c r="J60" i="3" s="1"/>
  <c r="J78" i="3" s="1"/>
  <c r="K20" i="2"/>
  <c r="K60" i="3" s="1"/>
  <c r="K78" i="3" s="1"/>
  <c r="L20" i="2"/>
  <c r="L60" i="3" s="1"/>
  <c r="L78" i="3" s="1"/>
  <c r="M20" i="2"/>
  <c r="M60" i="3" s="1"/>
  <c r="M78" i="3" s="1"/>
  <c r="N20" i="2"/>
  <c r="N60" i="3" s="1"/>
  <c r="N78" i="3" s="1"/>
  <c r="O20" i="2"/>
  <c r="O60" i="3" s="1"/>
  <c r="O78" i="3" s="1"/>
  <c r="P20" i="2"/>
  <c r="P60" i="3" s="1"/>
  <c r="P78" i="3" s="1"/>
  <c r="Q20" i="2"/>
  <c r="Q60" i="3" s="1"/>
  <c r="Q78" i="3" s="1"/>
  <c r="R20" i="2"/>
  <c r="R60" i="3" s="1"/>
  <c r="R78" i="3" s="1"/>
  <c r="S20" i="2"/>
  <c r="S60" i="3" s="1"/>
  <c r="S78" i="3" s="1"/>
  <c r="T20" i="2"/>
  <c r="T60" i="3" s="1"/>
  <c r="T78" i="3" s="1"/>
  <c r="B20" i="2"/>
  <c r="B60" i="3" s="1"/>
  <c r="B78" i="3" s="1"/>
  <c r="C4" i="2"/>
  <c r="C130" i="3" s="1"/>
  <c r="D4" i="2"/>
  <c r="D130" i="3" s="1"/>
  <c r="E4" i="2"/>
  <c r="E130" i="3" s="1"/>
  <c r="F4" i="2"/>
  <c r="F130" i="3" s="1"/>
  <c r="G4" i="2"/>
  <c r="G130" i="3" s="1"/>
  <c r="H4" i="2"/>
  <c r="H130" i="3" s="1"/>
  <c r="I4" i="2"/>
  <c r="I130" i="3" s="1"/>
  <c r="J4" i="2"/>
  <c r="J130" i="3" s="1"/>
  <c r="K4" i="2"/>
  <c r="K130" i="3" s="1"/>
  <c r="L4" i="2"/>
  <c r="L130" i="3" s="1"/>
  <c r="M4" i="2"/>
  <c r="M130" i="3" s="1"/>
  <c r="N4" i="2"/>
  <c r="N130" i="3" s="1"/>
  <c r="O4" i="2"/>
  <c r="O130" i="3" s="1"/>
  <c r="P4" i="2"/>
  <c r="P130" i="3" s="1"/>
  <c r="Q4" i="2"/>
  <c r="Q130" i="3" s="1"/>
  <c r="R4" i="2"/>
  <c r="R130" i="3" s="1"/>
  <c r="S4" i="2"/>
  <c r="S130" i="3" s="1"/>
  <c r="T4" i="2"/>
  <c r="T130" i="3" s="1"/>
  <c r="C5" i="2"/>
  <c r="C134" i="3" s="1"/>
  <c r="D5" i="2"/>
  <c r="D134" i="3" s="1"/>
  <c r="E5" i="2"/>
  <c r="E134" i="3" s="1"/>
  <c r="F5" i="2"/>
  <c r="F134" i="3" s="1"/>
  <c r="G5" i="2"/>
  <c r="G134" i="3" s="1"/>
  <c r="H5" i="2"/>
  <c r="H134" i="3" s="1"/>
  <c r="I5" i="2"/>
  <c r="I134" i="3" s="1"/>
  <c r="J5" i="2"/>
  <c r="J134" i="3" s="1"/>
  <c r="K5" i="2"/>
  <c r="K134" i="3" s="1"/>
  <c r="L5" i="2"/>
  <c r="L134" i="3" s="1"/>
  <c r="M5" i="2"/>
  <c r="M134" i="3" s="1"/>
  <c r="N5" i="2"/>
  <c r="N134" i="3" s="1"/>
  <c r="O5" i="2"/>
  <c r="O134" i="3" s="1"/>
  <c r="P5" i="2"/>
  <c r="P134" i="3" s="1"/>
  <c r="Q5" i="2"/>
  <c r="Q134" i="3" s="1"/>
  <c r="R5" i="2"/>
  <c r="R134" i="3" s="1"/>
  <c r="S5" i="2"/>
  <c r="S134" i="3" s="1"/>
  <c r="T5" i="2"/>
  <c r="T134" i="3" s="1"/>
  <c r="C7" i="2"/>
  <c r="D7" i="2"/>
  <c r="E7" i="2"/>
  <c r="F7" i="2"/>
  <c r="F66" i="3" s="1"/>
  <c r="G7" i="2"/>
  <c r="H7" i="2"/>
  <c r="I7" i="2"/>
  <c r="J7" i="2"/>
  <c r="J66" i="3" s="1"/>
  <c r="K7" i="2"/>
  <c r="L7" i="2"/>
  <c r="L66" i="3" s="1"/>
  <c r="M7" i="2"/>
  <c r="N7" i="2"/>
  <c r="O7" i="2"/>
  <c r="P7" i="2"/>
  <c r="Q7" i="2"/>
  <c r="R7" i="2"/>
  <c r="R66" i="3" s="1"/>
  <c r="S7" i="2"/>
  <c r="T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C16" i="2"/>
  <c r="C58" i="3" s="1"/>
  <c r="C77" i="3" s="1"/>
  <c r="D16" i="2"/>
  <c r="D58" i="3" s="1"/>
  <c r="D77" i="3" s="1"/>
  <c r="E16" i="2"/>
  <c r="E58" i="3" s="1"/>
  <c r="E77" i="3" s="1"/>
  <c r="F16" i="2"/>
  <c r="F58" i="3" s="1"/>
  <c r="G16" i="2"/>
  <c r="G58" i="3" s="1"/>
  <c r="G77" i="3" s="1"/>
  <c r="H16" i="2"/>
  <c r="H58" i="3" s="1"/>
  <c r="H77" i="3" s="1"/>
  <c r="I16" i="2"/>
  <c r="I58" i="3" s="1"/>
  <c r="I77" i="3" s="1"/>
  <c r="J16" i="2"/>
  <c r="J58" i="3" s="1"/>
  <c r="K16" i="2"/>
  <c r="K58" i="3" s="1"/>
  <c r="K77" i="3" s="1"/>
  <c r="L16" i="2"/>
  <c r="L58" i="3" s="1"/>
  <c r="L77" i="3" s="1"/>
  <c r="M16" i="2"/>
  <c r="M58" i="3" s="1"/>
  <c r="M77" i="3" s="1"/>
  <c r="N16" i="2"/>
  <c r="N58" i="3" s="1"/>
  <c r="N77" i="3" s="1"/>
  <c r="O16" i="2"/>
  <c r="O58" i="3" s="1"/>
  <c r="P16" i="2"/>
  <c r="P58" i="3" s="1"/>
  <c r="Q16" i="2"/>
  <c r="Q58" i="3" s="1"/>
  <c r="Q77" i="3" s="1"/>
  <c r="R16" i="2"/>
  <c r="R58" i="3" s="1"/>
  <c r="S16" i="2"/>
  <c r="S58" i="3" s="1"/>
  <c r="S77" i="3" s="1"/>
  <c r="T16" i="2"/>
  <c r="C17" i="2"/>
  <c r="D17" i="2"/>
  <c r="D57" i="3" s="1"/>
  <c r="E17" i="2"/>
  <c r="E57" i="3" s="1"/>
  <c r="F17" i="2"/>
  <c r="G17" i="2"/>
  <c r="H17" i="2"/>
  <c r="H57" i="3" s="1"/>
  <c r="I17" i="2"/>
  <c r="I57" i="3" s="1"/>
  <c r="J17" i="2"/>
  <c r="K17" i="2"/>
  <c r="L17" i="2"/>
  <c r="L57" i="3" s="1"/>
  <c r="M17" i="2"/>
  <c r="M57" i="3" s="1"/>
  <c r="N17" i="2"/>
  <c r="O17" i="2"/>
  <c r="P17" i="2"/>
  <c r="P57" i="3" s="1"/>
  <c r="Q17" i="2"/>
  <c r="Q57" i="3" s="1"/>
  <c r="R17" i="2"/>
  <c r="S17" i="2"/>
  <c r="T17" i="2"/>
  <c r="T57" i="3" s="1"/>
  <c r="C19" i="2"/>
  <c r="C61" i="3" s="1"/>
  <c r="C80" i="3" s="1"/>
  <c r="D19" i="2"/>
  <c r="D61" i="3" s="1"/>
  <c r="D80" i="3" s="1"/>
  <c r="E19" i="2"/>
  <c r="E61" i="3" s="1"/>
  <c r="E80" i="3" s="1"/>
  <c r="F19" i="2"/>
  <c r="F61" i="3" s="1"/>
  <c r="F80" i="3" s="1"/>
  <c r="G19" i="2"/>
  <c r="G61" i="3" s="1"/>
  <c r="G80" i="3" s="1"/>
  <c r="H19" i="2"/>
  <c r="H61" i="3" s="1"/>
  <c r="H80" i="3" s="1"/>
  <c r="I19" i="2"/>
  <c r="I61" i="3" s="1"/>
  <c r="I80" i="3" s="1"/>
  <c r="J19" i="2"/>
  <c r="J61" i="3" s="1"/>
  <c r="J80" i="3" s="1"/>
  <c r="K19" i="2"/>
  <c r="K61" i="3" s="1"/>
  <c r="K80" i="3" s="1"/>
  <c r="L19" i="2"/>
  <c r="L61" i="3" s="1"/>
  <c r="L80" i="3" s="1"/>
  <c r="M19" i="2"/>
  <c r="M61" i="3" s="1"/>
  <c r="M80" i="3" s="1"/>
  <c r="N19" i="2"/>
  <c r="N61" i="3" s="1"/>
  <c r="N80" i="3" s="1"/>
  <c r="O19" i="2"/>
  <c r="O61" i="3" s="1"/>
  <c r="O80" i="3" s="1"/>
  <c r="P19" i="2"/>
  <c r="P61" i="3" s="1"/>
  <c r="P80" i="3" s="1"/>
  <c r="Q19" i="2"/>
  <c r="Q61" i="3" s="1"/>
  <c r="Q80" i="3" s="1"/>
  <c r="R19" i="2"/>
  <c r="R61" i="3" s="1"/>
  <c r="R80" i="3" s="1"/>
  <c r="S19" i="2"/>
  <c r="S61" i="3" s="1"/>
  <c r="S80" i="3" s="1"/>
  <c r="T19" i="2"/>
  <c r="T61" i="3" s="1"/>
  <c r="T80" i="3" s="1"/>
  <c r="C22" i="2"/>
  <c r="C63" i="3" s="1"/>
  <c r="D22" i="2"/>
  <c r="D63" i="3" s="1"/>
  <c r="E22" i="2"/>
  <c r="E63" i="3" s="1"/>
  <c r="F22" i="2"/>
  <c r="F63" i="3" s="1"/>
  <c r="G22" i="2"/>
  <c r="G63" i="3" s="1"/>
  <c r="H22" i="2"/>
  <c r="H63" i="3" s="1"/>
  <c r="I22" i="2"/>
  <c r="I63" i="3" s="1"/>
  <c r="J22" i="2"/>
  <c r="J63" i="3" s="1"/>
  <c r="K22" i="2"/>
  <c r="K63" i="3" s="1"/>
  <c r="L22" i="2"/>
  <c r="L63" i="3" s="1"/>
  <c r="M22" i="2"/>
  <c r="M63" i="3" s="1"/>
  <c r="N22" i="2"/>
  <c r="N63" i="3" s="1"/>
  <c r="O22" i="2"/>
  <c r="O63" i="3" s="1"/>
  <c r="P22" i="2"/>
  <c r="P63" i="3" s="1"/>
  <c r="Q22" i="2"/>
  <c r="Q63" i="3" s="1"/>
  <c r="R22" i="2"/>
  <c r="R63" i="3" s="1"/>
  <c r="S22" i="2"/>
  <c r="S63" i="3" s="1"/>
  <c r="T22" i="2"/>
  <c r="T63" i="3" s="1"/>
  <c r="B22" i="2"/>
  <c r="B63" i="3" s="1"/>
  <c r="B19" i="2"/>
  <c r="B61" i="3" s="1"/>
  <c r="B80" i="3" s="1"/>
  <c r="B17" i="2"/>
  <c r="B16" i="2"/>
  <c r="B58" i="3" s="1"/>
  <c r="B77" i="3" s="1"/>
  <c r="B8" i="2"/>
  <c r="B7" i="2"/>
  <c r="B66" i="3" s="1"/>
  <c r="B168" i="3" s="1"/>
  <c r="B5" i="2"/>
  <c r="B134" i="3" s="1"/>
  <c r="B4" i="2"/>
  <c r="B130" i="3" s="1"/>
  <c r="R9" i="2" l="1"/>
  <c r="N9" i="2"/>
  <c r="J9" i="2"/>
  <c r="F9" i="2"/>
  <c r="C51" i="3"/>
  <c r="B170" i="3"/>
  <c r="B179" i="3" s="1"/>
  <c r="K51" i="3"/>
  <c r="D51" i="3"/>
  <c r="Z81" i="3"/>
  <c r="T51" i="3"/>
  <c r="H51" i="3"/>
  <c r="X51" i="3"/>
  <c r="D170" i="3"/>
  <c r="D176" i="3" s="1"/>
  <c r="D186" i="3" s="1"/>
  <c r="H170" i="3"/>
  <c r="H178" i="3" s="1"/>
  <c r="H188" i="3" s="1"/>
  <c r="K9" i="2"/>
  <c r="L51" i="3"/>
  <c r="L170" i="3"/>
  <c r="L176" i="3" s="1"/>
  <c r="L186" i="3" s="1"/>
  <c r="N6" i="2"/>
  <c r="N41" i="3" s="1"/>
  <c r="S51" i="3"/>
  <c r="W51" i="3"/>
  <c r="G51" i="3"/>
  <c r="O51" i="3"/>
  <c r="T10" i="2"/>
  <c r="T9" i="2"/>
  <c r="U8" i="2"/>
  <c r="P10" i="2"/>
  <c r="P9" i="2"/>
  <c r="H10" i="2"/>
  <c r="H9" i="2"/>
  <c r="D10" i="2"/>
  <c r="D9" i="2"/>
  <c r="S65" i="3"/>
  <c r="S9" i="2"/>
  <c r="O65" i="3"/>
  <c r="O68" i="3" s="1"/>
  <c r="O9" i="2"/>
  <c r="C65" i="3"/>
  <c r="C9" i="2"/>
  <c r="L10" i="2"/>
  <c r="L9" i="2"/>
  <c r="G65" i="3"/>
  <c r="G49" i="3" s="1"/>
  <c r="G9" i="2"/>
  <c r="Q9" i="2"/>
  <c r="M9" i="2"/>
  <c r="I9" i="2"/>
  <c r="E9" i="2"/>
  <c r="M51" i="3"/>
  <c r="X170" i="3"/>
  <c r="X178" i="3" s="1"/>
  <c r="P170" i="3"/>
  <c r="P179" i="3" s="1"/>
  <c r="P189" i="3" s="1"/>
  <c r="I51" i="3"/>
  <c r="Y51" i="3"/>
  <c r="B18" i="2"/>
  <c r="K10" i="2"/>
  <c r="E51" i="3"/>
  <c r="P51" i="3"/>
  <c r="U51" i="3"/>
  <c r="E170" i="3"/>
  <c r="E178" i="3" s="1"/>
  <c r="E188" i="3" s="1"/>
  <c r="T170" i="3"/>
  <c r="T179" i="3" s="1"/>
  <c r="T189" i="3" s="1"/>
  <c r="Q51" i="3"/>
  <c r="U170" i="3"/>
  <c r="U179" i="3" s="1"/>
  <c r="U189" i="3" s="1"/>
  <c r="Q6" i="2"/>
  <c r="Q41" i="3" s="1"/>
  <c r="M6" i="2"/>
  <c r="M41" i="3" s="1"/>
  <c r="I6" i="2"/>
  <c r="I41" i="3" s="1"/>
  <c r="E6" i="2"/>
  <c r="E41" i="3" s="1"/>
  <c r="S18" i="2"/>
  <c r="O18" i="2"/>
  <c r="G18" i="2"/>
  <c r="C18" i="2"/>
  <c r="K18" i="2"/>
  <c r="R18" i="2"/>
  <c r="N18" i="2"/>
  <c r="J18" i="2"/>
  <c r="F18" i="2"/>
  <c r="T18" i="2"/>
  <c r="R10" i="2"/>
  <c r="N10" i="2"/>
  <c r="J10" i="2"/>
  <c r="F10" i="2"/>
  <c r="T6" i="2"/>
  <c r="T41" i="3" s="1"/>
  <c r="P6" i="2"/>
  <c r="P41" i="3" s="1"/>
  <c r="L6" i="2"/>
  <c r="L41" i="3" s="1"/>
  <c r="H6" i="2"/>
  <c r="H41" i="3" s="1"/>
  <c r="D6" i="2"/>
  <c r="D41" i="3" s="1"/>
  <c r="H66" i="3"/>
  <c r="M18" i="2"/>
  <c r="S6" i="2"/>
  <c r="S41" i="3" s="1"/>
  <c r="O6" i="2"/>
  <c r="O41" i="3" s="1"/>
  <c r="K6" i="2"/>
  <c r="K41" i="3" s="1"/>
  <c r="G6" i="2"/>
  <c r="G41" i="3" s="1"/>
  <c r="T66" i="3"/>
  <c r="D66" i="3"/>
  <c r="P66" i="3"/>
  <c r="G7" i="3"/>
  <c r="H8" i="3" s="1"/>
  <c r="D136" i="3"/>
  <c r="D82" i="3" s="1"/>
  <c r="H136" i="3"/>
  <c r="H82" i="3" s="1"/>
  <c r="L136" i="3"/>
  <c r="L82" i="3" s="1"/>
  <c r="C170" i="3"/>
  <c r="C177" i="3" s="1"/>
  <c r="C187" i="3" s="1"/>
  <c r="P77" i="3"/>
  <c r="K65" i="3"/>
  <c r="K143" i="3" s="1"/>
  <c r="K144" i="3" s="1"/>
  <c r="Q18" i="2"/>
  <c r="S10" i="2"/>
  <c r="T11" i="2" s="1"/>
  <c r="T122" i="3" s="1"/>
  <c r="T123" i="3" s="1"/>
  <c r="T124" i="3" s="1"/>
  <c r="C10" i="2"/>
  <c r="F6" i="2"/>
  <c r="F41" i="3" s="1"/>
  <c r="F51" i="3"/>
  <c r="J51" i="3"/>
  <c r="N51" i="3"/>
  <c r="R51" i="3"/>
  <c r="V51" i="3"/>
  <c r="J170" i="3"/>
  <c r="J177" i="3" s="1"/>
  <c r="J187" i="3" s="1"/>
  <c r="R170" i="3"/>
  <c r="R177" i="3" s="1"/>
  <c r="Q66" i="3"/>
  <c r="M66" i="3"/>
  <c r="M168" i="3" s="1"/>
  <c r="I66" i="3"/>
  <c r="E66" i="3"/>
  <c r="F168" i="3" s="1"/>
  <c r="T65" i="3"/>
  <c r="P65" i="3"/>
  <c r="L65" i="3"/>
  <c r="H65" i="3"/>
  <c r="D65" i="3"/>
  <c r="R57" i="3"/>
  <c r="R59" i="3" s="1"/>
  <c r="N57" i="3"/>
  <c r="J57" i="3"/>
  <c r="J59" i="3" s="1"/>
  <c r="F57" i="3"/>
  <c r="O10" i="2"/>
  <c r="B10" i="2"/>
  <c r="E18" i="2"/>
  <c r="Q10" i="2"/>
  <c r="M10" i="2"/>
  <c r="I10" i="2"/>
  <c r="E10" i="2"/>
  <c r="C6" i="2"/>
  <c r="C41" i="3" s="1"/>
  <c r="G10" i="2"/>
  <c r="J6" i="2"/>
  <c r="J41" i="3" s="1"/>
  <c r="V170" i="3"/>
  <c r="V177" i="3" s="1"/>
  <c r="V187" i="3" s="1"/>
  <c r="B65" i="3"/>
  <c r="N66" i="3"/>
  <c r="Q65" i="3"/>
  <c r="Q117" i="3" s="1"/>
  <c r="Q118" i="3" s="1"/>
  <c r="M65" i="3"/>
  <c r="I65" i="3"/>
  <c r="E65" i="3"/>
  <c r="T58" i="3"/>
  <c r="T77" i="3" s="1"/>
  <c r="S57" i="3"/>
  <c r="S59" i="3" s="1"/>
  <c r="O57" i="3"/>
  <c r="O59" i="3" s="1"/>
  <c r="K57" i="3"/>
  <c r="K59" i="3" s="1"/>
  <c r="G57" i="3"/>
  <c r="C57" i="3"/>
  <c r="R6" i="2"/>
  <c r="R41" i="3" s="1"/>
  <c r="B57" i="3"/>
  <c r="I18" i="2"/>
  <c r="P18" i="2"/>
  <c r="L18" i="2"/>
  <c r="H18" i="2"/>
  <c r="D18" i="2"/>
  <c r="F170" i="3"/>
  <c r="F177" i="3" s="1"/>
  <c r="F187" i="3" s="1"/>
  <c r="N170" i="3"/>
  <c r="N177" i="3" s="1"/>
  <c r="N187" i="3" s="1"/>
  <c r="S66" i="3"/>
  <c r="S168" i="3" s="1"/>
  <c r="O66" i="3"/>
  <c r="K66" i="3"/>
  <c r="L168" i="3" s="1"/>
  <c r="G66" i="3"/>
  <c r="G168" i="3" s="1"/>
  <c r="C66" i="3"/>
  <c r="C168" i="3" s="1"/>
  <c r="R65" i="3"/>
  <c r="N65" i="3"/>
  <c r="J65" i="3"/>
  <c r="F65" i="3"/>
  <c r="L49" i="3"/>
  <c r="I170" i="3"/>
  <c r="I176" i="3" s="1"/>
  <c r="I186" i="3" s="1"/>
  <c r="Y170" i="3"/>
  <c r="Y179" i="3" s="1"/>
  <c r="M170" i="3"/>
  <c r="M179" i="3" s="1"/>
  <c r="M189" i="3" s="1"/>
  <c r="Q170" i="3"/>
  <c r="Q179" i="3" s="1"/>
  <c r="Q189" i="3" s="1"/>
  <c r="P136" i="3"/>
  <c r="P82" i="3" s="1"/>
  <c r="O170" i="3"/>
  <c r="O179" i="3" s="1"/>
  <c r="O189" i="3" s="1"/>
  <c r="K170" i="3"/>
  <c r="K177" i="3" s="1"/>
  <c r="K187" i="3" s="1"/>
  <c r="H59" i="3"/>
  <c r="V59" i="3"/>
  <c r="O77" i="3"/>
  <c r="S170" i="3"/>
  <c r="S177" i="3" s="1"/>
  <c r="W59" i="3"/>
  <c r="H163" i="3"/>
  <c r="W170" i="3"/>
  <c r="W176" i="3" s="1"/>
  <c r="W186" i="3" s="1"/>
  <c r="G170" i="3"/>
  <c r="G179" i="3" s="1"/>
  <c r="X59" i="3"/>
  <c r="P59" i="3"/>
  <c r="L59" i="3"/>
  <c r="V77" i="3"/>
  <c r="R77" i="3"/>
  <c r="J77" i="3"/>
  <c r="F77" i="3"/>
  <c r="D59" i="3"/>
  <c r="Y59" i="3"/>
  <c r="U59" i="3"/>
  <c r="Q59" i="3"/>
  <c r="M59" i="3"/>
  <c r="I59" i="3"/>
  <c r="E59" i="3"/>
  <c r="B43" i="3"/>
  <c r="B136" i="3"/>
  <c r="B82" i="3" s="1"/>
  <c r="B86" i="3" s="1"/>
  <c r="B87" i="3" s="1"/>
  <c r="F136" i="3"/>
  <c r="F82" i="3" s="1"/>
  <c r="J136" i="3"/>
  <c r="J82" i="3" s="1"/>
  <c r="N136" i="3"/>
  <c r="N82" i="3" s="1"/>
  <c r="R136" i="3"/>
  <c r="R82" i="3" s="1"/>
  <c r="G163" i="3"/>
  <c r="I163" i="3"/>
  <c r="E136" i="3"/>
  <c r="E82" i="3" s="1"/>
  <c r="I136" i="3"/>
  <c r="I82" i="3" s="1"/>
  <c r="M136" i="3"/>
  <c r="M82" i="3" s="1"/>
  <c r="Q136" i="3"/>
  <c r="Q82" i="3" s="1"/>
  <c r="F163" i="3"/>
  <c r="J163" i="3"/>
  <c r="C133" i="3"/>
  <c r="G133" i="3"/>
  <c r="K133" i="3"/>
  <c r="O133" i="3"/>
  <c r="G81" i="3"/>
  <c r="K81" i="3"/>
  <c r="O81" i="3"/>
  <c r="S81" i="3"/>
  <c r="W81" i="3"/>
  <c r="F81" i="3"/>
  <c r="J81" i="3"/>
  <c r="N81" i="3"/>
  <c r="R81" i="3"/>
  <c r="V81" i="3"/>
  <c r="B100" i="3"/>
  <c r="B98" i="3"/>
  <c r="B105" i="3" s="1"/>
  <c r="B107" i="3" s="1"/>
  <c r="B101" i="3"/>
  <c r="E81" i="3"/>
  <c r="I81" i="3"/>
  <c r="M81" i="3"/>
  <c r="Q81" i="3"/>
  <c r="U81" i="3"/>
  <c r="Y81" i="3"/>
  <c r="B99" i="3"/>
  <c r="H81" i="3"/>
  <c r="L81" i="3"/>
  <c r="P81" i="3"/>
  <c r="T81" i="3"/>
  <c r="X81" i="3"/>
  <c r="C113" i="3"/>
  <c r="C112" i="3"/>
  <c r="G113" i="3"/>
  <c r="G112" i="3"/>
  <c r="K113" i="3"/>
  <c r="K112" i="3"/>
  <c r="O113" i="3"/>
  <c r="O112" i="3"/>
  <c r="S113" i="3"/>
  <c r="S112" i="3"/>
  <c r="W113" i="3"/>
  <c r="W112" i="3"/>
  <c r="P145" i="3"/>
  <c r="E169" i="3"/>
  <c r="E142" i="3"/>
  <c r="I169" i="3"/>
  <c r="I142" i="3"/>
  <c r="M169" i="3"/>
  <c r="M142" i="3"/>
  <c r="Q169" i="3"/>
  <c r="Q142" i="3"/>
  <c r="U169" i="3"/>
  <c r="U142" i="3"/>
  <c r="Y169" i="3"/>
  <c r="Y142" i="3"/>
  <c r="B113" i="3"/>
  <c r="B112" i="3"/>
  <c r="F113" i="3"/>
  <c r="F112" i="3"/>
  <c r="J113" i="3"/>
  <c r="J112" i="3"/>
  <c r="N113" i="3"/>
  <c r="N112" i="3"/>
  <c r="R113" i="3"/>
  <c r="R112" i="3"/>
  <c r="V113" i="3"/>
  <c r="V112" i="3"/>
  <c r="D169" i="3"/>
  <c r="D142" i="3"/>
  <c r="H169" i="3"/>
  <c r="H142" i="3"/>
  <c r="L169" i="3"/>
  <c r="L142" i="3"/>
  <c r="P169" i="3"/>
  <c r="P142" i="3"/>
  <c r="T169" i="3"/>
  <c r="T142" i="3"/>
  <c r="X169" i="3"/>
  <c r="X142" i="3"/>
  <c r="B178" i="3"/>
  <c r="B188" i="3" s="1"/>
  <c r="V179" i="3"/>
  <c r="V189" i="3" s="1"/>
  <c r="B104" i="3"/>
  <c r="E113" i="3"/>
  <c r="E112" i="3"/>
  <c r="I113" i="3"/>
  <c r="I112" i="3"/>
  <c r="M113" i="3"/>
  <c r="M112" i="3"/>
  <c r="U113" i="3"/>
  <c r="U112" i="3"/>
  <c r="Y113" i="3"/>
  <c r="AA113" i="3" s="1"/>
  <c r="Y112" i="3"/>
  <c r="AA112" i="3" s="1"/>
  <c r="AB112" i="3" s="1"/>
  <c r="AC112" i="3" s="1"/>
  <c r="AD112" i="3" s="1"/>
  <c r="AE112" i="3" s="1"/>
  <c r="AF112" i="3" s="1"/>
  <c r="AG112" i="3" s="1"/>
  <c r="F171" i="3"/>
  <c r="F181" i="3" s="1"/>
  <c r="C169" i="3"/>
  <c r="C142" i="3"/>
  <c r="G169" i="3"/>
  <c r="G142" i="3"/>
  <c r="K169" i="3"/>
  <c r="K142" i="3"/>
  <c r="O169" i="3"/>
  <c r="O142" i="3"/>
  <c r="S169" i="3"/>
  <c r="S142" i="3"/>
  <c r="W169" i="3"/>
  <c r="W142" i="3"/>
  <c r="E176" i="3"/>
  <c r="E186" i="3" s="1"/>
  <c r="D113" i="3"/>
  <c r="D112" i="3"/>
  <c r="H113" i="3"/>
  <c r="H112" i="3"/>
  <c r="L113" i="3"/>
  <c r="L112" i="3"/>
  <c r="P113" i="3"/>
  <c r="P112" i="3"/>
  <c r="T113" i="3"/>
  <c r="T112" i="3"/>
  <c r="X113" i="3"/>
  <c r="X112" i="3"/>
  <c r="E171" i="3"/>
  <c r="E181" i="3" s="1"/>
  <c r="B169" i="3"/>
  <c r="B183" i="3" s="1"/>
  <c r="B142" i="3"/>
  <c r="F169" i="3"/>
  <c r="F142" i="3"/>
  <c r="J169" i="3"/>
  <c r="J142" i="3"/>
  <c r="N169" i="3"/>
  <c r="N142" i="3"/>
  <c r="R169" i="3"/>
  <c r="R142" i="3"/>
  <c r="V169" i="3"/>
  <c r="V142" i="3"/>
  <c r="L178" i="3"/>
  <c r="L188" i="3" s="1"/>
  <c r="T177" i="3"/>
  <c r="T187" i="3" s="1"/>
  <c r="F117" i="3"/>
  <c r="F118" i="3" s="1"/>
  <c r="C132" i="3"/>
  <c r="G132" i="3"/>
  <c r="K132" i="3"/>
  <c r="O132" i="3"/>
  <c r="B133" i="3"/>
  <c r="F133" i="3"/>
  <c r="J133" i="3"/>
  <c r="N133" i="3"/>
  <c r="R133" i="3"/>
  <c r="S132" i="3" s="1"/>
  <c r="E133" i="3"/>
  <c r="I133" i="3"/>
  <c r="M133" i="3"/>
  <c r="Q133" i="3"/>
  <c r="D133" i="3"/>
  <c r="H133" i="3"/>
  <c r="L133" i="3"/>
  <c r="P133" i="3"/>
  <c r="U7" i="2"/>
  <c r="U66" i="3" s="1"/>
  <c r="K11" i="2" l="1"/>
  <c r="K122" i="3" s="1"/>
  <c r="K123" i="3" s="1"/>
  <c r="K124" i="3" s="1"/>
  <c r="G145" i="3"/>
  <c r="H177" i="3"/>
  <c r="H187" i="3" s="1"/>
  <c r="O177" i="3"/>
  <c r="O187" i="3" s="1"/>
  <c r="K117" i="3"/>
  <c r="K118" i="3" s="1"/>
  <c r="H179" i="3"/>
  <c r="B176" i="3"/>
  <c r="B186" i="3" s="1"/>
  <c r="B175" i="3"/>
  <c r="B185" i="3" s="1"/>
  <c r="B191" i="3" s="1"/>
  <c r="B193" i="3" s="1"/>
  <c r="B195" i="3" s="1"/>
  <c r="B119" i="3" s="1"/>
  <c r="P177" i="3"/>
  <c r="P187" i="3" s="1"/>
  <c r="H176" i="3"/>
  <c r="H186" i="3" s="1"/>
  <c r="B177" i="3"/>
  <c r="B187" i="3" s="1"/>
  <c r="C179" i="3"/>
  <c r="G117" i="3"/>
  <c r="G118" i="3" s="1"/>
  <c r="O171" i="3"/>
  <c r="O181" i="3" s="1"/>
  <c r="O49" i="3"/>
  <c r="O50" i="3" s="1"/>
  <c r="O52" i="3" s="1"/>
  <c r="J7" i="3"/>
  <c r="K8" i="3" s="1"/>
  <c r="J68" i="3"/>
  <c r="O48" i="3"/>
  <c r="I49" i="3"/>
  <c r="I68" i="3"/>
  <c r="B171" i="3"/>
  <c r="B181" i="3" s="1"/>
  <c r="B68" i="3"/>
  <c r="D49" i="3"/>
  <c r="D68" i="3"/>
  <c r="T49" i="3"/>
  <c r="T68" i="3"/>
  <c r="K7" i="3"/>
  <c r="K68" i="3"/>
  <c r="N49" i="3"/>
  <c r="N68" i="3"/>
  <c r="M49" i="3"/>
  <c r="M68" i="3"/>
  <c r="H7" i="3"/>
  <c r="I8" i="3" s="1"/>
  <c r="H68" i="3"/>
  <c r="O143" i="3"/>
  <c r="O144" i="3" s="1"/>
  <c r="R49" i="3"/>
  <c r="R68" i="3"/>
  <c r="Q6" i="3"/>
  <c r="Q15" i="3" s="1"/>
  <c r="R192" i="3" s="1"/>
  <c r="Q68" i="3"/>
  <c r="L7" i="3"/>
  <c r="L68" i="3"/>
  <c r="O145" i="3"/>
  <c r="O153" i="3" s="1"/>
  <c r="O117" i="3"/>
  <c r="O118" i="3" s="1"/>
  <c r="F49" i="3"/>
  <c r="F68" i="3"/>
  <c r="E49" i="3"/>
  <c r="E68" i="3"/>
  <c r="P7" i="3"/>
  <c r="P68" i="3"/>
  <c r="O7" i="3"/>
  <c r="G143" i="3"/>
  <c r="G144" i="3" s="1"/>
  <c r="G68" i="3"/>
  <c r="C145" i="3"/>
  <c r="C146" i="3" s="1"/>
  <c r="C68" i="3"/>
  <c r="S145" i="3"/>
  <c r="Q155" i="3" s="1"/>
  <c r="S68" i="3"/>
  <c r="E177" i="3"/>
  <c r="E187" i="3" s="1"/>
  <c r="K171" i="3"/>
  <c r="K181" i="3" s="1"/>
  <c r="W178" i="3"/>
  <c r="K49" i="3"/>
  <c r="C7" i="3"/>
  <c r="D8" i="3" s="1"/>
  <c r="E179" i="3"/>
  <c r="G171" i="3"/>
  <c r="G181" i="3" s="1"/>
  <c r="C143" i="3"/>
  <c r="C144" i="3" s="1"/>
  <c r="K145" i="3"/>
  <c r="G6" i="3"/>
  <c r="G15" i="3" s="1"/>
  <c r="G16" i="3" s="1"/>
  <c r="X176" i="3"/>
  <c r="X186" i="3" s="1"/>
  <c r="I178" i="3"/>
  <c r="I188" i="3" s="1"/>
  <c r="K168" i="3"/>
  <c r="K183" i="3" s="1"/>
  <c r="R179" i="3"/>
  <c r="R189" i="3" s="1"/>
  <c r="D178" i="3"/>
  <c r="D188" i="3" s="1"/>
  <c r="W177" i="3"/>
  <c r="W187" i="3" s="1"/>
  <c r="F6" i="3"/>
  <c r="F15" i="3" s="1"/>
  <c r="F16" i="3" s="1"/>
  <c r="P143" i="3"/>
  <c r="P144" i="3" s="1"/>
  <c r="E143" i="3"/>
  <c r="E144" i="3" s="1"/>
  <c r="F143" i="3"/>
  <c r="F144" i="3" s="1"/>
  <c r="E117" i="3"/>
  <c r="E118" i="3" s="1"/>
  <c r="E145" i="3"/>
  <c r="E146" i="3" s="1"/>
  <c r="F145" i="3"/>
  <c r="F146" i="3" s="1"/>
  <c r="W179" i="3"/>
  <c r="W189" i="3" s="1"/>
  <c r="P49" i="3"/>
  <c r="AB113" i="3"/>
  <c r="AC113" i="3" s="1"/>
  <c r="AD113" i="3" s="1"/>
  <c r="AE113" i="3" s="1"/>
  <c r="AF113" i="3" s="1"/>
  <c r="AG113" i="3" s="1"/>
  <c r="X177" i="3"/>
  <c r="X187" i="3" s="1"/>
  <c r="L179" i="3"/>
  <c r="L189" i="3" s="1"/>
  <c r="D179" i="3"/>
  <c r="H143" i="3"/>
  <c r="H144" i="3" s="1"/>
  <c r="M177" i="3"/>
  <c r="M187" i="3" s="1"/>
  <c r="V176" i="3"/>
  <c r="V186" i="3" s="1"/>
  <c r="R176" i="3"/>
  <c r="R186" i="3" s="1"/>
  <c r="F179" i="3"/>
  <c r="H48" i="3"/>
  <c r="H49" i="3"/>
  <c r="Q168" i="3"/>
  <c r="Q183" i="3" s="1"/>
  <c r="X179" i="3"/>
  <c r="X189" i="3" s="1"/>
  <c r="L177" i="3"/>
  <c r="L187" i="3" s="1"/>
  <c r="D177" i="3"/>
  <c r="D187" i="3" s="1"/>
  <c r="V178" i="3"/>
  <c r="R178" i="3"/>
  <c r="R188" i="3" s="1"/>
  <c r="S179" i="3"/>
  <c r="S189" i="3" s="1"/>
  <c r="H171" i="3"/>
  <c r="H181" i="3" s="1"/>
  <c r="P168" i="3"/>
  <c r="P175" i="3" s="1"/>
  <c r="P185" i="3" s="1"/>
  <c r="C11" i="2"/>
  <c r="I168" i="3"/>
  <c r="I175" i="3" s="1"/>
  <c r="I185" i="3" s="1"/>
  <c r="D168" i="3"/>
  <c r="D175" i="3" s="1"/>
  <c r="D185" i="3" s="1"/>
  <c r="L11" i="2"/>
  <c r="U177" i="3"/>
  <c r="U187" i="3" s="1"/>
  <c r="H145" i="3"/>
  <c r="H146" i="3" s="1"/>
  <c r="H117" i="3"/>
  <c r="H118" i="3" s="1"/>
  <c r="O11" i="2"/>
  <c r="R171" i="3"/>
  <c r="R181" i="3" s="1"/>
  <c r="S171" i="3"/>
  <c r="S181" i="3" s="1"/>
  <c r="G59" i="3"/>
  <c r="G48" i="3" s="1"/>
  <c r="G50" i="3" s="1"/>
  <c r="G52" i="3" s="1"/>
  <c r="F59" i="3"/>
  <c r="F48" i="3" s="1"/>
  <c r="C6" i="3"/>
  <c r="C15" i="3" s="1"/>
  <c r="C16" i="3" s="1"/>
  <c r="S48" i="3"/>
  <c r="S49" i="3"/>
  <c r="M11" i="2"/>
  <c r="S143" i="3"/>
  <c r="S144" i="3" s="1"/>
  <c r="T145" i="3"/>
  <c r="R155" i="3" s="1"/>
  <c r="S7" i="3"/>
  <c r="C171" i="3"/>
  <c r="C181" i="3" s="1"/>
  <c r="S117" i="3"/>
  <c r="S118" i="3" s="1"/>
  <c r="T59" i="3"/>
  <c r="T48" i="3" s="1"/>
  <c r="T50" i="3" s="1"/>
  <c r="T52" i="3" s="1"/>
  <c r="C49" i="3"/>
  <c r="I11" i="2"/>
  <c r="S11" i="2"/>
  <c r="B103" i="3"/>
  <c r="Q177" i="3"/>
  <c r="Q187" i="3" s="1"/>
  <c r="J168" i="3"/>
  <c r="J183" i="3" s="1"/>
  <c r="K176" i="3"/>
  <c r="I171" i="3"/>
  <c r="I181" i="3" s="1"/>
  <c r="Y177" i="3"/>
  <c r="Y187" i="3" s="1"/>
  <c r="I143" i="3"/>
  <c r="I144" i="3" s="1"/>
  <c r="N179" i="3"/>
  <c r="N189" i="3" s="1"/>
  <c r="M117" i="3"/>
  <c r="M118" i="3" s="1"/>
  <c r="C117" i="3"/>
  <c r="C118" i="3" s="1"/>
  <c r="L117" i="3"/>
  <c r="L118" i="3" s="1"/>
  <c r="Q11" i="2"/>
  <c r="J11" i="2"/>
  <c r="J117" i="3"/>
  <c r="J118" i="3" s="1"/>
  <c r="V8" i="2"/>
  <c r="U65" i="3"/>
  <c r="U68" i="3" s="1"/>
  <c r="Y176" i="3"/>
  <c r="Y186" i="3" s="1"/>
  <c r="J179" i="3"/>
  <c r="J143" i="3"/>
  <c r="J144" i="3" s="1"/>
  <c r="U48" i="3"/>
  <c r="E11" i="2"/>
  <c r="D11" i="2"/>
  <c r="T178" i="3"/>
  <c r="P178" i="3"/>
  <c r="P188" i="3" s="1"/>
  <c r="I179" i="3"/>
  <c r="G177" i="3"/>
  <c r="G187" i="3" s="1"/>
  <c r="C176" i="3"/>
  <c r="C186" i="3" s="1"/>
  <c r="M175" i="3"/>
  <c r="M185" i="3" s="1"/>
  <c r="T176" i="3"/>
  <c r="T186" i="3" s="1"/>
  <c r="P176" i="3"/>
  <c r="P186" i="3" s="1"/>
  <c r="I177" i="3"/>
  <c r="I187" i="3" s="1"/>
  <c r="C178" i="3"/>
  <c r="C188" i="3" s="1"/>
  <c r="C175" i="3"/>
  <c r="C185" i="3" s="1"/>
  <c r="D183" i="3"/>
  <c r="O176" i="3"/>
  <c r="O186" i="3" s="1"/>
  <c r="M183" i="3"/>
  <c r="M171" i="3"/>
  <c r="M181" i="3" s="1"/>
  <c r="Y178" i="3"/>
  <c r="Y188" i="3" s="1"/>
  <c r="U178" i="3"/>
  <c r="N171" i="3"/>
  <c r="N181" i="3" s="1"/>
  <c r="F176" i="3"/>
  <c r="F186" i="3" s="1"/>
  <c r="N143" i="3"/>
  <c r="N144" i="3" s="1"/>
  <c r="O178" i="3"/>
  <c r="O188" i="3" s="1"/>
  <c r="K178" i="3"/>
  <c r="K188" i="3" s="1"/>
  <c r="P171" i="3"/>
  <c r="P181" i="3" s="1"/>
  <c r="P48" i="3"/>
  <c r="N7" i="3"/>
  <c r="M7" i="3"/>
  <c r="N6" i="3"/>
  <c r="N15" i="3" s="1"/>
  <c r="O192" i="3" s="1"/>
  <c r="N11" i="2"/>
  <c r="M48" i="3"/>
  <c r="P6" i="3"/>
  <c r="P15" i="3" s="1"/>
  <c r="Q192" i="3" s="1"/>
  <c r="P11" i="2"/>
  <c r="T168" i="3"/>
  <c r="T175" i="3" s="1"/>
  <c r="T185" i="3" s="1"/>
  <c r="F11" i="2"/>
  <c r="N117" i="3"/>
  <c r="N118" i="3" s="1"/>
  <c r="U176" i="3"/>
  <c r="U186" i="3" s="1"/>
  <c r="F178" i="3"/>
  <c r="F188" i="3" s="1"/>
  <c r="M145" i="3"/>
  <c r="M146" i="3" s="1"/>
  <c r="M143" i="3"/>
  <c r="M144" i="3" s="1"/>
  <c r="N145" i="3"/>
  <c r="L155" i="3" s="1"/>
  <c r="N168" i="3"/>
  <c r="N183" i="3" s="1"/>
  <c r="K179" i="3"/>
  <c r="K189" i="3" s="1"/>
  <c r="E168" i="3"/>
  <c r="E175" i="3" s="1"/>
  <c r="E185" i="3" s="1"/>
  <c r="Q171" i="3"/>
  <c r="Q181" i="3" s="1"/>
  <c r="Q143" i="3"/>
  <c r="Q144" i="3" s="1"/>
  <c r="R145" i="3"/>
  <c r="R146" i="3" s="1"/>
  <c r="T171" i="3"/>
  <c r="T181" i="3" s="1"/>
  <c r="D117" i="3"/>
  <c r="D118" i="3" s="1"/>
  <c r="B49" i="3"/>
  <c r="R6" i="3"/>
  <c r="R15" i="3" s="1"/>
  <c r="S192" i="3" s="1"/>
  <c r="R11" i="2"/>
  <c r="R117" i="3"/>
  <c r="R118" i="3" s="1"/>
  <c r="B117" i="3"/>
  <c r="B118" i="3" s="1"/>
  <c r="D143" i="3"/>
  <c r="D144" i="3" s="1"/>
  <c r="B145" i="3"/>
  <c r="B146" i="3" s="1"/>
  <c r="R143" i="3"/>
  <c r="R144" i="3" s="1"/>
  <c r="B143" i="3"/>
  <c r="B144" i="3" s="1"/>
  <c r="D171" i="3"/>
  <c r="D181" i="3" s="1"/>
  <c r="B7" i="3"/>
  <c r="C8" i="3" s="1"/>
  <c r="Q7" i="3"/>
  <c r="B6" i="3"/>
  <c r="B15" i="3" s="1"/>
  <c r="C192" i="3" s="1"/>
  <c r="K48" i="3"/>
  <c r="U168" i="3"/>
  <c r="U175" i="3" s="1"/>
  <c r="U185" i="3" s="1"/>
  <c r="T143" i="3"/>
  <c r="T144" i="3" s="1"/>
  <c r="Q145" i="3"/>
  <c r="O155" i="3" s="1"/>
  <c r="R168" i="3"/>
  <c r="R175" i="3" s="1"/>
  <c r="R185" i="3" s="1"/>
  <c r="D145" i="3"/>
  <c r="D146" i="3" s="1"/>
  <c r="Q48" i="3"/>
  <c r="D48" i="3"/>
  <c r="T117" i="3"/>
  <c r="T118" i="3" s="1"/>
  <c r="T6" i="3"/>
  <c r="K6" i="3"/>
  <c r="K15" i="3" s="1"/>
  <c r="K16" i="3" s="1"/>
  <c r="B59" i="3"/>
  <c r="B48" i="3" s="1"/>
  <c r="S6" i="3"/>
  <c r="S15" i="3" s="1"/>
  <c r="T192" i="3" s="1"/>
  <c r="C59" i="3"/>
  <c r="C48" i="3" s="1"/>
  <c r="R48" i="3"/>
  <c r="E6" i="3"/>
  <c r="E15" i="3" s="1"/>
  <c r="E16" i="3" s="1"/>
  <c r="H6" i="3"/>
  <c r="H15" i="3" s="1"/>
  <c r="H16" i="3" s="1"/>
  <c r="G11" i="2"/>
  <c r="H11" i="2"/>
  <c r="B89" i="3"/>
  <c r="B92" i="3" s="1"/>
  <c r="B88" i="3"/>
  <c r="B90" i="3" s="1"/>
  <c r="D7" i="3"/>
  <c r="E8" i="3" s="1"/>
  <c r="C183" i="3"/>
  <c r="M6" i="3"/>
  <c r="M15" i="3" s="1"/>
  <c r="N192" i="3" s="1"/>
  <c r="R7" i="3"/>
  <c r="L6" i="3"/>
  <c r="L15" i="3" s="1"/>
  <c r="M192" i="3" s="1"/>
  <c r="I7" i="3"/>
  <c r="J8" i="3" s="1"/>
  <c r="J49" i="3"/>
  <c r="O168" i="3"/>
  <c r="O183" i="3" s="1"/>
  <c r="P117" i="3"/>
  <c r="P118" i="3" s="1"/>
  <c r="T7" i="3"/>
  <c r="E7" i="3"/>
  <c r="F8" i="3" s="1"/>
  <c r="Q49" i="3"/>
  <c r="T94" i="3"/>
  <c r="T44" i="3" s="1"/>
  <c r="T28" i="3"/>
  <c r="H141" i="3"/>
  <c r="Q176" i="3"/>
  <c r="M176" i="3"/>
  <c r="M186" i="3" s="1"/>
  <c r="G183" i="3"/>
  <c r="N178" i="3"/>
  <c r="N188" i="3" s="1"/>
  <c r="J178" i="3"/>
  <c r="J188" i="3" s="1"/>
  <c r="F141" i="3"/>
  <c r="S178" i="3"/>
  <c r="S188" i="3" s="1"/>
  <c r="H168" i="3"/>
  <c r="O6" i="3"/>
  <c r="O15" i="3" s="1"/>
  <c r="O16" i="3" s="1"/>
  <c r="E48" i="3"/>
  <c r="E50" i="3" s="1"/>
  <c r="E52" i="3" s="1"/>
  <c r="N59" i="3"/>
  <c r="N48" i="3" s="1"/>
  <c r="N50" i="3" s="1"/>
  <c r="N52" i="3" s="1"/>
  <c r="L171" i="3"/>
  <c r="L181" i="3" s="1"/>
  <c r="F7" i="3"/>
  <c r="G8" i="3" s="1"/>
  <c r="D6" i="3"/>
  <c r="D15" i="3" s="1"/>
  <c r="L143" i="3"/>
  <c r="L144" i="3" s="1"/>
  <c r="I145" i="3"/>
  <c r="I146" i="3" s="1"/>
  <c r="Q178" i="3"/>
  <c r="Q188" i="3" s="1"/>
  <c r="M178" i="3"/>
  <c r="M188" i="3" s="1"/>
  <c r="J171" i="3"/>
  <c r="J181" i="3" s="1"/>
  <c r="N176" i="3"/>
  <c r="N186" i="3" s="1"/>
  <c r="J176" i="3"/>
  <c r="J186" i="3" s="1"/>
  <c r="S176" i="3"/>
  <c r="S186" i="3" s="1"/>
  <c r="J48" i="3"/>
  <c r="J6" i="3"/>
  <c r="J15" i="3" s="1"/>
  <c r="K94" i="3"/>
  <c r="K44" i="3" s="1"/>
  <c r="K28" i="3"/>
  <c r="J145" i="3"/>
  <c r="J146" i="3" s="1"/>
  <c r="I117" i="3"/>
  <c r="I118" i="3" s="1"/>
  <c r="L145" i="3"/>
  <c r="L146" i="3" s="1"/>
  <c r="I48" i="3"/>
  <c r="L48" i="3"/>
  <c r="L50" i="3" s="1"/>
  <c r="L52" i="3" s="1"/>
  <c r="I6" i="3"/>
  <c r="I15" i="3" s="1"/>
  <c r="J192" i="3" s="1"/>
  <c r="L183" i="3"/>
  <c r="O175" i="3"/>
  <c r="O185" i="3" s="1"/>
  <c r="L175" i="3"/>
  <c r="L185" i="3" s="1"/>
  <c r="S183" i="3"/>
  <c r="S175" i="3"/>
  <c r="S185" i="3" s="1"/>
  <c r="G176" i="3"/>
  <c r="G186" i="3" s="1"/>
  <c r="G175" i="3"/>
  <c r="G185" i="3" s="1"/>
  <c r="G178" i="3"/>
  <c r="G188" i="3" s="1"/>
  <c r="J86" i="3"/>
  <c r="C104" i="3"/>
  <c r="Q16" i="3"/>
  <c r="K186" i="3"/>
  <c r="C100" i="3"/>
  <c r="C99" i="3"/>
  <c r="S133" i="3"/>
  <c r="T132" i="3" s="1"/>
  <c r="S136" i="3"/>
  <c r="S82" i="3" s="1"/>
  <c r="S86" i="3" s="1"/>
  <c r="L86" i="3"/>
  <c r="L87" i="3" s="1"/>
  <c r="N146" i="3"/>
  <c r="Q86" i="3"/>
  <c r="Q87" i="3" s="1"/>
  <c r="F183" i="3"/>
  <c r="F189" i="3" s="1"/>
  <c r="F175" i="3"/>
  <c r="F185" i="3" s="1"/>
  <c r="I114" i="3"/>
  <c r="I115" i="3" s="1"/>
  <c r="K114" i="3"/>
  <c r="K115" i="3" s="1"/>
  <c r="X114" i="3"/>
  <c r="X115" i="3" s="1"/>
  <c r="H114" i="3"/>
  <c r="H115" i="3" s="1"/>
  <c r="O136" i="3"/>
  <c r="O82" i="3" s="1"/>
  <c r="O86" i="3" s="1"/>
  <c r="O87" i="3" s="1"/>
  <c r="C136" i="3"/>
  <c r="C82" i="3" s="1"/>
  <c r="C86" i="3" s="1"/>
  <c r="C87" i="3" s="1"/>
  <c r="P86" i="3"/>
  <c r="P87" i="3" s="1"/>
  <c r="E86" i="3"/>
  <c r="E87" i="3" s="1"/>
  <c r="M155" i="3"/>
  <c r="G146" i="3"/>
  <c r="G136" i="3"/>
  <c r="G82" i="3" s="1"/>
  <c r="Q113" i="3"/>
  <c r="V114" i="3" s="1"/>
  <c r="V115" i="3" s="1"/>
  <c r="D86" i="3"/>
  <c r="D87" i="3" s="1"/>
  <c r="I86" i="3"/>
  <c r="I87" i="3" s="1"/>
  <c r="D114" i="3"/>
  <c r="D115" i="3" s="1"/>
  <c r="E114" i="3"/>
  <c r="E115" i="3" s="1"/>
  <c r="F114" i="3"/>
  <c r="F115" i="3" s="1"/>
  <c r="G114" i="3"/>
  <c r="G115" i="3" s="1"/>
  <c r="C114" i="3"/>
  <c r="C115" i="3" s="1"/>
  <c r="P146" i="3"/>
  <c r="N155" i="3"/>
  <c r="P153" i="3"/>
  <c r="M114" i="3"/>
  <c r="M115" i="3" s="1"/>
  <c r="B189" i="3"/>
  <c r="L114" i="3"/>
  <c r="L115" i="3" s="1"/>
  <c r="K136" i="3"/>
  <c r="K82" i="3" s="1"/>
  <c r="Q146" i="3"/>
  <c r="H86" i="3"/>
  <c r="H87" i="3" s="1"/>
  <c r="M86" i="3"/>
  <c r="M87" i="3" s="1"/>
  <c r="K146" i="3"/>
  <c r="C102" i="3"/>
  <c r="J114" i="3"/>
  <c r="J115" i="3" s="1"/>
  <c r="C101" i="3"/>
  <c r="R86" i="3"/>
  <c r="R87" i="3" s="1"/>
  <c r="N86" i="3"/>
  <c r="N87" i="3" s="1"/>
  <c r="F86" i="3"/>
  <c r="F87" i="3" s="1"/>
  <c r="U10" i="2"/>
  <c r="U11" i="2" s="1"/>
  <c r="U122" i="3" s="1"/>
  <c r="U123" i="3" s="1"/>
  <c r="U124" i="3" s="1"/>
  <c r="V7" i="2"/>
  <c r="V66" i="3" s="1"/>
  <c r="V168" i="3" s="1"/>
  <c r="V183" i="3" s="1"/>
  <c r="S146" i="3" l="1"/>
  <c r="H148" i="3"/>
  <c r="D50" i="3"/>
  <c r="D52" i="3" s="1"/>
  <c r="H147" i="3"/>
  <c r="I50" i="3"/>
  <c r="I52" i="3" s="1"/>
  <c r="S153" i="3"/>
  <c r="M50" i="3"/>
  <c r="M52" i="3" s="1"/>
  <c r="N122" i="3"/>
  <c r="N123" i="3" s="1"/>
  <c r="N124" i="3" s="1"/>
  <c r="N94" i="3" s="1"/>
  <c r="N44" i="3" s="1"/>
  <c r="D122" i="3"/>
  <c r="D123" i="3" s="1"/>
  <c r="D124" i="3" s="1"/>
  <c r="D94" i="3" s="1"/>
  <c r="D44" i="3" s="1"/>
  <c r="F122" i="3"/>
  <c r="F123" i="3" s="1"/>
  <c r="F124" i="3" s="1"/>
  <c r="F28" i="3" s="1"/>
  <c r="I122" i="3"/>
  <c r="I123" i="3" s="1"/>
  <c r="I124" i="3" s="1"/>
  <c r="I28" i="3" s="1"/>
  <c r="M122" i="3"/>
  <c r="M123" i="3" s="1"/>
  <c r="M124" i="3" s="1"/>
  <c r="M28" i="3" s="1"/>
  <c r="O122" i="3"/>
  <c r="O123" i="3" s="1"/>
  <c r="O124" i="3" s="1"/>
  <c r="O28" i="3" s="1"/>
  <c r="L122" i="3"/>
  <c r="L123" i="3" s="1"/>
  <c r="L124" i="3" s="1"/>
  <c r="L94" i="3" s="1"/>
  <c r="L44" i="3" s="1"/>
  <c r="B17" i="3"/>
  <c r="B20" i="3" s="1"/>
  <c r="B22" i="3" s="1"/>
  <c r="H94" i="3"/>
  <c r="H44" i="3" s="1"/>
  <c r="H122" i="3"/>
  <c r="H123" i="3" s="1"/>
  <c r="H124" i="3" s="1"/>
  <c r="P122" i="3"/>
  <c r="P123" i="3" s="1"/>
  <c r="E94" i="3"/>
  <c r="E44" i="3" s="1"/>
  <c r="E122" i="3"/>
  <c r="E123" i="3" s="1"/>
  <c r="E124" i="3" s="1"/>
  <c r="J122" i="3"/>
  <c r="J123" i="3" s="1"/>
  <c r="J124" i="3" s="1"/>
  <c r="J94" i="3" s="1"/>
  <c r="J44" i="3" s="1"/>
  <c r="K101" i="3"/>
  <c r="J87" i="3"/>
  <c r="J89" i="3" s="1"/>
  <c r="G122" i="3"/>
  <c r="G123" i="3" s="1"/>
  <c r="G124" i="3" s="1"/>
  <c r="G28" i="3" s="1"/>
  <c r="R122" i="3"/>
  <c r="R123" i="3" s="1"/>
  <c r="R124" i="3" s="1"/>
  <c r="R94" i="3" s="1"/>
  <c r="R44" i="3" s="1"/>
  <c r="Q122" i="3"/>
  <c r="S122" i="3"/>
  <c r="S123" i="3" s="1"/>
  <c r="S124" i="3" s="1"/>
  <c r="S28" i="3" s="1"/>
  <c r="C122" i="3"/>
  <c r="C123" i="3" s="1"/>
  <c r="C124" i="3" s="1"/>
  <c r="C94" i="3" s="1"/>
  <c r="C44" i="3" s="1"/>
  <c r="K50" i="3"/>
  <c r="K52" i="3" s="1"/>
  <c r="R50" i="3"/>
  <c r="R52" i="3" s="1"/>
  <c r="O146" i="3"/>
  <c r="AA114" i="3"/>
  <c r="AA115" i="3" s="1"/>
  <c r="L191" i="3"/>
  <c r="G147" i="3"/>
  <c r="G151" i="3" s="1"/>
  <c r="D192" i="3"/>
  <c r="P147" i="3"/>
  <c r="I147" i="3"/>
  <c r="F50" i="3"/>
  <c r="F52" i="3" s="1"/>
  <c r="E141" i="3"/>
  <c r="F148" i="3" s="1"/>
  <c r="G148" i="3"/>
  <c r="T15" i="3"/>
  <c r="T18" i="3" s="1"/>
  <c r="R18" i="3"/>
  <c r="S187" i="3"/>
  <c r="F147" i="3"/>
  <c r="T146" i="3"/>
  <c r="U149" i="3" s="1"/>
  <c r="G189" i="3"/>
  <c r="G191" i="3" s="1"/>
  <c r="D147" i="3"/>
  <c r="Q18" i="3"/>
  <c r="G192" i="3"/>
  <c r="Q175" i="3"/>
  <c r="Q185" i="3" s="1"/>
  <c r="C189" i="3"/>
  <c r="C191" i="3" s="1"/>
  <c r="C193" i="3" s="1"/>
  <c r="C195" i="3" s="1"/>
  <c r="C17" i="3" s="1"/>
  <c r="K175" i="3"/>
  <c r="K185" i="3" s="1"/>
  <c r="K191" i="3" s="1"/>
  <c r="F149" i="3"/>
  <c r="Q147" i="3"/>
  <c r="P50" i="3"/>
  <c r="P52" i="3" s="1"/>
  <c r="I183" i="3"/>
  <c r="I189" i="3" s="1"/>
  <c r="I191" i="3" s="1"/>
  <c r="T153" i="3"/>
  <c r="T159" i="3" s="1"/>
  <c r="E28" i="3"/>
  <c r="J28" i="3"/>
  <c r="P191" i="3"/>
  <c r="AB114" i="3"/>
  <c r="AB115" i="3" s="1"/>
  <c r="Y114" i="3"/>
  <c r="Y115" i="3" s="1"/>
  <c r="Y25" i="3" s="1"/>
  <c r="Z114" i="3"/>
  <c r="Z115" i="3" s="1"/>
  <c r="Z25" i="3" s="1"/>
  <c r="Q50" i="3"/>
  <c r="Q52" i="3" s="1"/>
  <c r="H50" i="3"/>
  <c r="H52" i="3" s="1"/>
  <c r="P155" i="3"/>
  <c r="H28" i="3"/>
  <c r="O94" i="3"/>
  <c r="O44" i="3" s="1"/>
  <c r="D189" i="3"/>
  <c r="D191" i="3" s="1"/>
  <c r="T188" i="3"/>
  <c r="T191" i="3" s="1"/>
  <c r="T193" i="3" s="1"/>
  <c r="T195" i="3" s="1"/>
  <c r="T17" i="3" s="1"/>
  <c r="H151" i="3"/>
  <c r="N28" i="3"/>
  <c r="R153" i="3"/>
  <c r="M153" i="3"/>
  <c r="M159" i="3" s="1"/>
  <c r="L153" i="3"/>
  <c r="K161" i="3" s="1"/>
  <c r="K163" i="3" s="1"/>
  <c r="P183" i="3"/>
  <c r="C50" i="3"/>
  <c r="C52" i="3" s="1"/>
  <c r="J147" i="3"/>
  <c r="T183" i="3"/>
  <c r="S50" i="3"/>
  <c r="S52" i="3" s="1"/>
  <c r="N175" i="3"/>
  <c r="N185" i="3" s="1"/>
  <c r="N191" i="3" s="1"/>
  <c r="N193" i="3" s="1"/>
  <c r="N195" i="3" s="1"/>
  <c r="N17" i="3" s="1"/>
  <c r="O191" i="3"/>
  <c r="O193" i="3" s="1"/>
  <c r="O195" i="3" s="1"/>
  <c r="O119" i="3" s="1"/>
  <c r="O120" i="3" s="1"/>
  <c r="O26" i="3" s="1"/>
  <c r="K147" i="3"/>
  <c r="J175" i="3"/>
  <c r="J185" i="3" s="1"/>
  <c r="N153" i="3"/>
  <c r="N159" i="3" s="1"/>
  <c r="Q153" i="3"/>
  <c r="Q159" i="3" s="1"/>
  <c r="E147" i="3"/>
  <c r="E149" i="3"/>
  <c r="U6" i="3"/>
  <c r="U143" i="3"/>
  <c r="U144" i="3" s="1"/>
  <c r="U147" i="3" s="1"/>
  <c r="U171" i="3"/>
  <c r="U181" i="3" s="1"/>
  <c r="U188" i="3" s="1"/>
  <c r="U191" i="3" s="1"/>
  <c r="U49" i="3"/>
  <c r="U50" i="3" s="1"/>
  <c r="U52" i="3" s="1"/>
  <c r="U7" i="3"/>
  <c r="U117" i="3"/>
  <c r="U118" i="3" s="1"/>
  <c r="U145" i="3"/>
  <c r="N147" i="3"/>
  <c r="O147" i="3"/>
  <c r="W8" i="2"/>
  <c r="V65" i="3"/>
  <c r="V68" i="3" s="1"/>
  <c r="T147" i="3"/>
  <c r="S147" i="3"/>
  <c r="Q186" i="3"/>
  <c r="R16" i="3"/>
  <c r="B120" i="3"/>
  <c r="B126" i="3" s="1"/>
  <c r="B127" i="3" s="1"/>
  <c r="R147" i="3"/>
  <c r="N16" i="3"/>
  <c r="J50" i="3"/>
  <c r="J52" i="3" s="1"/>
  <c r="U183" i="3"/>
  <c r="E183" i="3"/>
  <c r="E189" i="3" s="1"/>
  <c r="E191" i="3" s="1"/>
  <c r="N149" i="3"/>
  <c r="L150" i="3" s="1"/>
  <c r="L156" i="3" s="1"/>
  <c r="B50" i="3"/>
  <c r="B52" i="3" s="1"/>
  <c r="I141" i="3"/>
  <c r="P16" i="3"/>
  <c r="M191" i="3"/>
  <c r="M193" i="3" s="1"/>
  <c r="M195" i="3" s="1"/>
  <c r="M17" i="3" s="1"/>
  <c r="R183" i="3"/>
  <c r="R187" i="3" s="1"/>
  <c r="R191" i="3" s="1"/>
  <c r="R193" i="3" s="1"/>
  <c r="R195" i="3" s="1"/>
  <c r="E18" i="3"/>
  <c r="S191" i="3"/>
  <c r="S193" i="3" s="1"/>
  <c r="S195" i="3" s="1"/>
  <c r="S119" i="3" s="1"/>
  <c r="S120" i="3" s="1"/>
  <c r="S26" i="3" s="1"/>
  <c r="K102" i="3"/>
  <c r="L16" i="3"/>
  <c r="I16" i="3"/>
  <c r="D18" i="3"/>
  <c r="M16" i="3"/>
  <c r="F18" i="3"/>
  <c r="S18" i="3"/>
  <c r="S16" i="3"/>
  <c r="L18" i="3"/>
  <c r="E192" i="3"/>
  <c r="D16" i="3"/>
  <c r="L192" i="3"/>
  <c r="I18" i="3"/>
  <c r="K18" i="3"/>
  <c r="P192" i="3"/>
  <c r="I192" i="3"/>
  <c r="N18" i="3"/>
  <c r="O18" i="3"/>
  <c r="P18" i="3"/>
  <c r="F192" i="3"/>
  <c r="M18" i="3"/>
  <c r="H88" i="3"/>
  <c r="P88" i="3"/>
  <c r="P90" i="3" s="1"/>
  <c r="O88" i="3"/>
  <c r="O90" i="3" s="1"/>
  <c r="P103" i="3"/>
  <c r="K100" i="3"/>
  <c r="J88" i="3"/>
  <c r="J90" i="3" s="1"/>
  <c r="J30" i="3" s="1"/>
  <c r="J37" i="3" s="1"/>
  <c r="J18" i="3"/>
  <c r="Q88" i="3"/>
  <c r="Q90" i="3" s="1"/>
  <c r="L88" i="3"/>
  <c r="R88" i="3"/>
  <c r="R90" i="3" s="1"/>
  <c r="S103" i="3"/>
  <c r="F88" i="3"/>
  <c r="F90" i="3" s="1"/>
  <c r="N88" i="3"/>
  <c r="N90" i="3" s="1"/>
  <c r="N102" i="3"/>
  <c r="M88" i="3"/>
  <c r="M90" i="3" s="1"/>
  <c r="I88" i="3"/>
  <c r="I90" i="3" s="1"/>
  <c r="D88" i="3"/>
  <c r="D90" i="3" s="1"/>
  <c r="F102" i="3"/>
  <c r="E88" i="3"/>
  <c r="E90" i="3" s="1"/>
  <c r="C88" i="3"/>
  <c r="C90" i="3" s="1"/>
  <c r="V175" i="3"/>
  <c r="V185" i="3" s="1"/>
  <c r="L147" i="3"/>
  <c r="U94" i="3"/>
  <c r="U44" i="3" s="1"/>
  <c r="U28" i="3"/>
  <c r="J189" i="3"/>
  <c r="H183" i="3"/>
  <c r="H189" i="3" s="1"/>
  <c r="H175" i="3"/>
  <c r="H185" i="3" s="1"/>
  <c r="J16" i="3"/>
  <c r="K192" i="3"/>
  <c r="M147" i="3"/>
  <c r="K104" i="3"/>
  <c r="C18" i="3"/>
  <c r="H192" i="3"/>
  <c r="H18" i="3"/>
  <c r="G18" i="3"/>
  <c r="B18" i="3"/>
  <c r="B16" i="3"/>
  <c r="E102" i="3"/>
  <c r="K99" i="3"/>
  <c r="M102" i="3"/>
  <c r="O114" i="3"/>
  <c r="O115" i="3" s="1"/>
  <c r="G149" i="3"/>
  <c r="J149" i="3"/>
  <c r="N114" i="3"/>
  <c r="N115" i="3" s="1"/>
  <c r="N25" i="3" s="1"/>
  <c r="T114" i="3"/>
  <c r="T115" i="3" s="1"/>
  <c r="T25" i="3" s="1"/>
  <c r="W114" i="3"/>
  <c r="W115" i="3" s="1"/>
  <c r="W25" i="3" s="1"/>
  <c r="U114" i="3"/>
  <c r="U115" i="3" s="1"/>
  <c r="U25" i="3" s="1"/>
  <c r="R114" i="3"/>
  <c r="R115" i="3" s="1"/>
  <c r="R25" i="3" s="1"/>
  <c r="R149" i="3"/>
  <c r="P150" i="3" s="1"/>
  <c r="P156" i="3" s="1"/>
  <c r="P114" i="3"/>
  <c r="P115" i="3" s="1"/>
  <c r="P25" i="3" s="1"/>
  <c r="Q114" i="3"/>
  <c r="Q115" i="3" s="1"/>
  <c r="Q25" i="3" s="1"/>
  <c r="S88" i="3"/>
  <c r="S90" i="3" s="1"/>
  <c r="S87" i="3"/>
  <c r="B91" i="3"/>
  <c r="B30" i="3"/>
  <c r="S159" i="3"/>
  <c r="F25" i="3"/>
  <c r="G103" i="3"/>
  <c r="O159" i="3"/>
  <c r="O100" i="3"/>
  <c r="O99" i="3"/>
  <c r="O104" i="3"/>
  <c r="O101" i="3"/>
  <c r="J25" i="3"/>
  <c r="B93" i="3"/>
  <c r="B31" i="3"/>
  <c r="I101" i="3"/>
  <c r="I103" i="3"/>
  <c r="I99" i="3"/>
  <c r="I100" i="3"/>
  <c r="I104" i="3"/>
  <c r="L25" i="3"/>
  <c r="G25" i="3"/>
  <c r="R159" i="3"/>
  <c r="D102" i="3"/>
  <c r="D99" i="3"/>
  <c r="D104" i="3"/>
  <c r="D100" i="3"/>
  <c r="D101" i="3"/>
  <c r="C103" i="3"/>
  <c r="D103" i="3"/>
  <c r="H25" i="3"/>
  <c r="I25" i="3"/>
  <c r="L149" i="3"/>
  <c r="T149" i="3"/>
  <c r="G86" i="3"/>
  <c r="G87" i="3" s="1"/>
  <c r="I102" i="3"/>
  <c r="K149" i="3"/>
  <c r="S149" i="3"/>
  <c r="M149" i="3"/>
  <c r="H149" i="3"/>
  <c r="S114" i="3"/>
  <c r="S115" i="3" s="1"/>
  <c r="O149" i="3"/>
  <c r="N100" i="3"/>
  <c r="N101" i="3"/>
  <c r="N99" i="3"/>
  <c r="N104" i="3"/>
  <c r="N103" i="3"/>
  <c r="C25" i="3"/>
  <c r="D25" i="3"/>
  <c r="J101" i="3"/>
  <c r="J103" i="3"/>
  <c r="J100" i="3"/>
  <c r="J99" i="3"/>
  <c r="J104" i="3"/>
  <c r="F100" i="3"/>
  <c r="F99" i="3"/>
  <c r="F104" i="3"/>
  <c r="F103" i="3"/>
  <c r="F101" i="3"/>
  <c r="K25" i="3"/>
  <c r="M100" i="3"/>
  <c r="M104" i="3"/>
  <c r="M101" i="3"/>
  <c r="M103" i="3"/>
  <c r="M99" i="3"/>
  <c r="T136" i="3"/>
  <c r="T82" i="3" s="1"/>
  <c r="T133" i="3"/>
  <c r="U132" i="3" s="1"/>
  <c r="P149" i="3"/>
  <c r="O102" i="3"/>
  <c r="Q149" i="3"/>
  <c r="G100" i="3"/>
  <c r="G99" i="3"/>
  <c r="G101" i="3"/>
  <c r="G104" i="3"/>
  <c r="P159" i="3"/>
  <c r="E25" i="3"/>
  <c r="E100" i="3"/>
  <c r="E104" i="3"/>
  <c r="E103" i="3"/>
  <c r="E99" i="3"/>
  <c r="E101" i="3"/>
  <c r="V25" i="3"/>
  <c r="O103" i="3"/>
  <c r="X25" i="3"/>
  <c r="G102" i="3"/>
  <c r="C98" i="3"/>
  <c r="K103" i="3"/>
  <c r="M25" i="3"/>
  <c r="J102" i="3"/>
  <c r="F191" i="3"/>
  <c r="I149" i="3"/>
  <c r="K86" i="3"/>
  <c r="K87" i="3" s="1"/>
  <c r="V10" i="2"/>
  <c r="V11" i="2" s="1"/>
  <c r="V122" i="3" s="1"/>
  <c r="V123" i="3" s="1"/>
  <c r="V124" i="3" s="1"/>
  <c r="W7" i="2"/>
  <c r="W66" i="3" s="1"/>
  <c r="W168" i="3" s="1"/>
  <c r="L28" i="3" l="1"/>
  <c r="I94" i="3"/>
  <c r="I44" i="3" s="1"/>
  <c r="C22" i="3"/>
  <c r="R28" i="3"/>
  <c r="B19" i="3"/>
  <c r="C21" i="3" s="1"/>
  <c r="M94" i="3"/>
  <c r="M44" i="3" s="1"/>
  <c r="S94" i="3"/>
  <c r="S44" i="3" s="1"/>
  <c r="D28" i="3"/>
  <c r="L193" i="3"/>
  <c r="L195" i="3" s="1"/>
  <c r="L119" i="3" s="1"/>
  <c r="L120" i="3" s="1"/>
  <c r="L26" i="3" s="1"/>
  <c r="Q123" i="3"/>
  <c r="Q124" i="3" s="1"/>
  <c r="P124" i="3"/>
  <c r="G94" i="3"/>
  <c r="G44" i="3" s="1"/>
  <c r="C28" i="3"/>
  <c r="F94" i="3"/>
  <c r="F44" i="3" s="1"/>
  <c r="D193" i="3"/>
  <c r="D195" i="3" s="1"/>
  <c r="D119" i="3" s="1"/>
  <c r="D120" i="3" s="1"/>
  <c r="D26" i="3" s="1"/>
  <c r="D27" i="3" s="1"/>
  <c r="T16" i="3"/>
  <c r="F151" i="3"/>
  <c r="U15" i="3"/>
  <c r="U192" i="3"/>
  <c r="U193" i="3" s="1"/>
  <c r="U195" i="3" s="1"/>
  <c r="J141" i="3"/>
  <c r="J148" i="3" s="1"/>
  <c r="J151" i="3" s="1"/>
  <c r="I148" i="3"/>
  <c r="D141" i="3"/>
  <c r="E148" i="3" s="1"/>
  <c r="E151" i="3" s="1"/>
  <c r="J191" i="3"/>
  <c r="J193" i="3" s="1"/>
  <c r="J195" i="3" s="1"/>
  <c r="J119" i="3" s="1"/>
  <c r="J120" i="3" s="1"/>
  <c r="Q191" i="3"/>
  <c r="Q193" i="3" s="1"/>
  <c r="Q195" i="3" s="1"/>
  <c r="Q17" i="3" s="1"/>
  <c r="Q20" i="3" s="1"/>
  <c r="Q19" i="3" s="1"/>
  <c r="G193" i="3"/>
  <c r="G195" i="3" s="1"/>
  <c r="G119" i="3" s="1"/>
  <c r="G120" i="3" s="1"/>
  <c r="G26" i="3" s="1"/>
  <c r="G27" i="3" s="1"/>
  <c r="G29" i="3" s="1"/>
  <c r="S17" i="3"/>
  <c r="L159" i="3"/>
  <c r="P193" i="3"/>
  <c r="P195" i="3" s="1"/>
  <c r="P17" i="3" s="1"/>
  <c r="P20" i="3" s="1"/>
  <c r="P19" i="3" s="1"/>
  <c r="K193" i="3"/>
  <c r="K195" i="3" s="1"/>
  <c r="K119" i="3" s="1"/>
  <c r="K120" i="3" s="1"/>
  <c r="K26" i="3" s="1"/>
  <c r="K27" i="3" s="1"/>
  <c r="K29" i="3" s="1"/>
  <c r="L161" i="3"/>
  <c r="N154" i="3"/>
  <c r="N8" i="3" s="1"/>
  <c r="X8" i="2"/>
  <c r="W65" i="3"/>
  <c r="W68" i="3" s="1"/>
  <c r="S155" i="3"/>
  <c r="U146" i="3"/>
  <c r="U153" i="3"/>
  <c r="K98" i="3"/>
  <c r="K105" i="3" s="1"/>
  <c r="K107" i="3" s="1"/>
  <c r="P161" i="3"/>
  <c r="V192" i="3"/>
  <c r="U16" i="3"/>
  <c r="U18" i="3"/>
  <c r="V49" i="3"/>
  <c r="V171" i="3"/>
  <c r="V181" i="3" s="1"/>
  <c r="V188" i="3" s="1"/>
  <c r="V191" i="3" s="1"/>
  <c r="V193" i="3" s="1"/>
  <c r="V195" i="3" s="1"/>
  <c r="V6" i="3"/>
  <c r="V7" i="3"/>
  <c r="V143" i="3"/>
  <c r="V144" i="3" s="1"/>
  <c r="V145" i="3"/>
  <c r="V117" i="3"/>
  <c r="V118" i="3" s="1"/>
  <c r="V48" i="3"/>
  <c r="O126" i="3"/>
  <c r="O127" i="3" s="1"/>
  <c r="O108" i="3" s="1"/>
  <c r="I193" i="3"/>
  <c r="I195" i="3" s="1"/>
  <c r="I119" i="3" s="1"/>
  <c r="I120" i="3" s="1"/>
  <c r="I26" i="3" s="1"/>
  <c r="I27" i="3" s="1"/>
  <c r="I29" i="3" s="1"/>
  <c r="M119" i="3"/>
  <c r="M120" i="3" s="1"/>
  <c r="M26" i="3" s="1"/>
  <c r="M27" i="3" s="1"/>
  <c r="M29" i="3" s="1"/>
  <c r="E193" i="3"/>
  <c r="E195" i="3" s="1"/>
  <c r="E17" i="3" s="1"/>
  <c r="E20" i="3" s="1"/>
  <c r="E19" i="3" s="1"/>
  <c r="B26" i="3"/>
  <c r="B27" i="3" s="1"/>
  <c r="B29" i="3" s="1"/>
  <c r="B33" i="3" s="1"/>
  <c r="B32" i="3" s="1"/>
  <c r="C105" i="3"/>
  <c r="C107" i="3" s="1"/>
  <c r="I151" i="3"/>
  <c r="S20" i="3"/>
  <c r="S19" i="3" s="1"/>
  <c r="F193" i="3"/>
  <c r="F195" i="3" s="1"/>
  <c r="F119" i="3" s="1"/>
  <c r="F120" i="3" s="1"/>
  <c r="R154" i="3"/>
  <c r="R8" i="3" s="1"/>
  <c r="N20" i="3"/>
  <c r="N19" i="3" s="1"/>
  <c r="M20" i="3"/>
  <c r="M19" i="3" s="1"/>
  <c r="T119" i="3"/>
  <c r="T120" i="3" s="1"/>
  <c r="T26" i="3" s="1"/>
  <c r="N119" i="3"/>
  <c r="N120" i="3" s="1"/>
  <c r="N26" i="3" s="1"/>
  <c r="N27" i="3" s="1"/>
  <c r="N29" i="3" s="1"/>
  <c r="O17" i="3"/>
  <c r="O20" i="3" s="1"/>
  <c r="O19" i="3" s="1"/>
  <c r="T20" i="3"/>
  <c r="G88" i="3"/>
  <c r="G90" i="3" s="1"/>
  <c r="L103" i="3"/>
  <c r="K88" i="3"/>
  <c r="K90" i="3" s="1"/>
  <c r="L27" i="3"/>
  <c r="L29" i="3" s="1"/>
  <c r="V94" i="3"/>
  <c r="V44" i="3" s="1"/>
  <c r="V28" i="3"/>
  <c r="H191" i="3"/>
  <c r="H193" i="3" s="1"/>
  <c r="H195" i="3" s="1"/>
  <c r="W175" i="3"/>
  <c r="W185" i="3" s="1"/>
  <c r="W183" i="3"/>
  <c r="C20" i="3"/>
  <c r="C19" i="3" s="1"/>
  <c r="J91" i="3"/>
  <c r="C119" i="3"/>
  <c r="C120" i="3" s="1"/>
  <c r="C26" i="3" s="1"/>
  <c r="C27" i="3" s="1"/>
  <c r="O25" i="3"/>
  <c r="L99" i="3"/>
  <c r="L101" i="3"/>
  <c r="L104" i="3"/>
  <c r="L100" i="3"/>
  <c r="L102" i="3"/>
  <c r="D91" i="3"/>
  <c r="D30" i="3"/>
  <c r="D37" i="3" s="1"/>
  <c r="I89" i="3"/>
  <c r="I92" i="3" s="1"/>
  <c r="J98" i="3"/>
  <c r="J105" i="3" s="1"/>
  <c r="J107" i="3" s="1"/>
  <c r="S150" i="3"/>
  <c r="S156" i="3" s="1"/>
  <c r="U154" i="3"/>
  <c r="D89" i="3"/>
  <c r="D92" i="3" s="1"/>
  <c r="E98" i="3"/>
  <c r="E105" i="3" s="1"/>
  <c r="E107" i="3" s="1"/>
  <c r="F91" i="3"/>
  <c r="F30" i="3"/>
  <c r="F37" i="3" s="1"/>
  <c r="O150" i="3"/>
  <c r="O156" i="3" s="1"/>
  <c r="O161" i="3" s="1"/>
  <c r="Q154" i="3"/>
  <c r="T103" i="3"/>
  <c r="T86" i="3"/>
  <c r="O91" i="3"/>
  <c r="O30" i="3"/>
  <c r="O37" i="3" s="1"/>
  <c r="E91" i="3"/>
  <c r="E30" i="3"/>
  <c r="E37" i="3" s="1"/>
  <c r="M91" i="3"/>
  <c r="M30" i="3"/>
  <c r="M37" i="3" s="1"/>
  <c r="B108" i="3"/>
  <c r="O154" i="3"/>
  <c r="M150" i="3"/>
  <c r="M156" i="3" s="1"/>
  <c r="M161" i="3" s="1"/>
  <c r="T154" i="3"/>
  <c r="R150" i="3"/>
  <c r="R156" i="3" s="1"/>
  <c r="R161" i="3" s="1"/>
  <c r="Q89" i="3"/>
  <c r="Q92" i="3" s="1"/>
  <c r="R103" i="3"/>
  <c r="R100" i="3"/>
  <c r="R101" i="3"/>
  <c r="R99" i="3"/>
  <c r="R104" i="3"/>
  <c r="R102" i="3"/>
  <c r="R98" i="3"/>
  <c r="P30" i="3"/>
  <c r="P37" i="3" s="1"/>
  <c r="C91" i="3"/>
  <c r="C30" i="3"/>
  <c r="C37" i="3" s="1"/>
  <c r="N91" i="3"/>
  <c r="N30" i="3"/>
  <c r="N37" i="3" s="1"/>
  <c r="R91" i="3"/>
  <c r="R30" i="3"/>
  <c r="R37" i="3" s="1"/>
  <c r="L90" i="3"/>
  <c r="H90" i="3"/>
  <c r="F89" i="3"/>
  <c r="F92" i="3" s="1"/>
  <c r="G98" i="3"/>
  <c r="G105" i="3" s="1"/>
  <c r="G107" i="3" s="1"/>
  <c r="P154" i="3"/>
  <c r="N150" i="3"/>
  <c r="N156" i="3" s="1"/>
  <c r="N161" i="3" s="1"/>
  <c r="U136" i="3"/>
  <c r="U82" i="3" s="1"/>
  <c r="U133" i="3"/>
  <c r="V132" i="3" s="1"/>
  <c r="L89" i="3"/>
  <c r="M98" i="3"/>
  <c r="M105" i="3" s="1"/>
  <c r="M107" i="3" s="1"/>
  <c r="O89" i="3"/>
  <c r="O92" i="3" s="1"/>
  <c r="P100" i="3"/>
  <c r="P104" i="3"/>
  <c r="P101" i="3"/>
  <c r="P99" i="3"/>
  <c r="P102" i="3"/>
  <c r="P98" i="3"/>
  <c r="E89" i="3"/>
  <c r="E92" i="3" s="1"/>
  <c r="F98" i="3"/>
  <c r="F105" i="3" s="1"/>
  <c r="F107" i="3" s="1"/>
  <c r="M89" i="3"/>
  <c r="M92" i="3" s="1"/>
  <c r="N98" i="3"/>
  <c r="N105" i="3" s="1"/>
  <c r="N107" i="3" s="1"/>
  <c r="S154" i="3"/>
  <c r="Q150" i="3"/>
  <c r="Q156" i="3" s="1"/>
  <c r="Q161" i="3" s="1"/>
  <c r="H101" i="3"/>
  <c r="H100" i="3"/>
  <c r="H104" i="3"/>
  <c r="H99" i="3"/>
  <c r="H102" i="3"/>
  <c r="R119" i="3"/>
  <c r="R120" i="3" s="1"/>
  <c r="R17" i="3"/>
  <c r="R20" i="3" s="1"/>
  <c r="P89" i="3"/>
  <c r="P92" i="3" s="1"/>
  <c r="Q99" i="3"/>
  <c r="Q100" i="3"/>
  <c r="Q101" i="3"/>
  <c r="Q104" i="3"/>
  <c r="Q103" i="3"/>
  <c r="Q98" i="3"/>
  <c r="Q102" i="3"/>
  <c r="C89" i="3"/>
  <c r="C92" i="3" s="1"/>
  <c r="D98" i="3"/>
  <c r="D105" i="3" s="1"/>
  <c r="D107" i="3" s="1"/>
  <c r="H89" i="3"/>
  <c r="I98" i="3"/>
  <c r="I105" i="3" s="1"/>
  <c r="I107" i="3" s="1"/>
  <c r="N89" i="3"/>
  <c r="N92" i="3" s="1"/>
  <c r="O98" i="3"/>
  <c r="O105" i="3" s="1"/>
  <c r="O107" i="3" s="1"/>
  <c r="R89" i="3"/>
  <c r="R92" i="3" s="1"/>
  <c r="S101" i="3"/>
  <c r="S100" i="3"/>
  <c r="S99" i="3"/>
  <c r="S104" i="3"/>
  <c r="S106" i="3"/>
  <c r="S98" i="3"/>
  <c r="S102" i="3"/>
  <c r="I91" i="3"/>
  <c r="I30" i="3"/>
  <c r="I37" i="3" s="1"/>
  <c r="S91" i="3"/>
  <c r="S30" i="3"/>
  <c r="S37" i="3" s="1"/>
  <c r="S126" i="3"/>
  <c r="S127" i="3" s="1"/>
  <c r="S25" i="3"/>
  <c r="K150" i="3"/>
  <c r="M154" i="3"/>
  <c r="L154" i="3"/>
  <c r="L8" i="3" s="1"/>
  <c r="J150" i="3"/>
  <c r="Q30" i="3"/>
  <c r="Q37" i="3" s="1"/>
  <c r="S89" i="3"/>
  <c r="S92" i="3" s="1"/>
  <c r="T99" i="3"/>
  <c r="T106" i="3"/>
  <c r="T104" i="3"/>
  <c r="T100" i="3"/>
  <c r="T101" i="3"/>
  <c r="T98" i="3"/>
  <c r="T102" i="3"/>
  <c r="J92" i="3"/>
  <c r="H103" i="3"/>
  <c r="X7" i="2"/>
  <c r="X66" i="3" s="1"/>
  <c r="X168" i="3" s="1"/>
  <c r="W10" i="2"/>
  <c r="W11" i="2" s="1"/>
  <c r="W122" i="3" s="1"/>
  <c r="W123" i="3" s="1"/>
  <c r="W124" i="3" s="1"/>
  <c r="B21" i="3" l="1"/>
  <c r="L17" i="3"/>
  <c r="L20" i="3" s="1"/>
  <c r="L126" i="3"/>
  <c r="L127" i="3" s="1"/>
  <c r="D29" i="3"/>
  <c r="D36" i="3" s="1"/>
  <c r="J17" i="3"/>
  <c r="J20" i="3" s="1"/>
  <c r="D126" i="3"/>
  <c r="D127" i="3" s="1"/>
  <c r="D17" i="3"/>
  <c r="D20" i="3" s="1"/>
  <c r="E22" i="3" s="1"/>
  <c r="R22" i="3"/>
  <c r="P94" i="3"/>
  <c r="P28" i="3"/>
  <c r="K141" i="3"/>
  <c r="K148" i="3" s="1"/>
  <c r="K151" i="3" s="1"/>
  <c r="P119" i="3"/>
  <c r="P120" i="3" s="1"/>
  <c r="P26" i="3" s="1"/>
  <c r="P27" i="3" s="1"/>
  <c r="P29" i="3" s="1"/>
  <c r="P36" i="3" s="1"/>
  <c r="Q28" i="3"/>
  <c r="Q94" i="3"/>
  <c r="G17" i="3"/>
  <c r="G20" i="3" s="1"/>
  <c r="G19" i="3" s="1"/>
  <c r="U17" i="3"/>
  <c r="U119" i="3"/>
  <c r="U120" i="3" s="1"/>
  <c r="U26" i="3" s="1"/>
  <c r="N160" i="3"/>
  <c r="T27" i="3"/>
  <c r="V15" i="3"/>
  <c r="T19" i="3"/>
  <c r="W8" i="3"/>
  <c r="C141" i="3"/>
  <c r="D148" i="3" s="1"/>
  <c r="Q119" i="3"/>
  <c r="Q120" i="3" s="1"/>
  <c r="Q26" i="3" s="1"/>
  <c r="Q27" i="3" s="1"/>
  <c r="Q29" i="3" s="1"/>
  <c r="Q36" i="3" s="1"/>
  <c r="G126" i="3"/>
  <c r="G127" i="3" s="1"/>
  <c r="G108" i="3" s="1"/>
  <c r="K126" i="3"/>
  <c r="K127" i="3" s="1"/>
  <c r="K108" i="3" s="1"/>
  <c r="Q22" i="3"/>
  <c r="R160" i="3"/>
  <c r="K17" i="3"/>
  <c r="K20" i="3" s="1"/>
  <c r="K19" i="3" s="1"/>
  <c r="M126" i="3"/>
  <c r="M127" i="3" s="1"/>
  <c r="M108" i="3" s="1"/>
  <c r="E119" i="3"/>
  <c r="E120" i="3" s="1"/>
  <c r="E26" i="3" s="1"/>
  <c r="E27" i="3" s="1"/>
  <c r="E29" i="3" s="1"/>
  <c r="E36" i="3" s="1"/>
  <c r="V50" i="3"/>
  <c r="V52" i="3" s="1"/>
  <c r="V17" i="3"/>
  <c r="V119" i="3"/>
  <c r="V120" i="3" s="1"/>
  <c r="V26" i="3" s="1"/>
  <c r="V16" i="3"/>
  <c r="V146" i="3"/>
  <c r="W149" i="3" s="1"/>
  <c r="T155" i="3"/>
  <c r="V153" i="3"/>
  <c r="W7" i="3"/>
  <c r="W143" i="3"/>
  <c r="W144" i="3" s="1"/>
  <c r="W49" i="3"/>
  <c r="W171" i="3"/>
  <c r="W181" i="3" s="1"/>
  <c r="W188" i="3" s="1"/>
  <c r="W191" i="3" s="1"/>
  <c r="W117" i="3"/>
  <c r="W118" i="3" s="1"/>
  <c r="W6" i="3"/>
  <c r="W145" i="3"/>
  <c r="W48" i="3"/>
  <c r="V147" i="3"/>
  <c r="U159" i="3"/>
  <c r="Y8" i="2"/>
  <c r="X65" i="3"/>
  <c r="X68" i="3" s="1"/>
  <c r="S161" i="3"/>
  <c r="V149" i="3"/>
  <c r="I17" i="3"/>
  <c r="I20" i="3" s="1"/>
  <c r="I19" i="3" s="1"/>
  <c r="N22" i="3"/>
  <c r="F17" i="3"/>
  <c r="F20" i="3" s="1"/>
  <c r="F22" i="3" s="1"/>
  <c r="V160" i="3"/>
  <c r="M22" i="3"/>
  <c r="T126" i="3"/>
  <c r="T127" i="3" s="1"/>
  <c r="T108" i="3" s="1"/>
  <c r="P21" i="3"/>
  <c r="N126" i="3"/>
  <c r="N127" i="3" s="1"/>
  <c r="N108" i="3" s="1"/>
  <c r="T22" i="3"/>
  <c r="O22" i="3"/>
  <c r="I126" i="3"/>
  <c r="I127" i="3" s="1"/>
  <c r="I108" i="3" s="1"/>
  <c r="L19" i="3"/>
  <c r="M21" i="3" s="1"/>
  <c r="P22" i="3"/>
  <c r="O21" i="3"/>
  <c r="V126" i="3"/>
  <c r="V127" i="3" s="1"/>
  <c r="V108" i="3" s="1"/>
  <c r="B36" i="3"/>
  <c r="C29" i="3"/>
  <c r="C36" i="3" s="1"/>
  <c r="O27" i="3"/>
  <c r="O29" i="3" s="1"/>
  <c r="O36" i="3" s="1"/>
  <c r="S27" i="3"/>
  <c r="S29" i="3" s="1"/>
  <c r="N36" i="3"/>
  <c r="M36" i="3"/>
  <c r="K36" i="3"/>
  <c r="G36" i="3"/>
  <c r="I36" i="3"/>
  <c r="H119" i="3"/>
  <c r="H120" i="3" s="1"/>
  <c r="H17" i="3"/>
  <c r="H20" i="3" s="1"/>
  <c r="W94" i="3"/>
  <c r="W44" i="3" s="1"/>
  <c r="W28" i="3"/>
  <c r="X175" i="3"/>
  <c r="X185" i="3" s="1"/>
  <c r="X183" i="3"/>
  <c r="C126" i="3"/>
  <c r="C127" i="3" s="1"/>
  <c r="L36" i="3"/>
  <c r="L108" i="3"/>
  <c r="H92" i="3"/>
  <c r="H93" i="3" s="1"/>
  <c r="L92" i="3"/>
  <c r="L93" i="3" s="1"/>
  <c r="T105" i="3"/>
  <c r="T107" i="3" s="1"/>
  <c r="N21" i="3"/>
  <c r="E93" i="3"/>
  <c r="E31" i="3"/>
  <c r="S93" i="3"/>
  <c r="S31" i="3"/>
  <c r="J19" i="3"/>
  <c r="R93" i="3"/>
  <c r="R31" i="3"/>
  <c r="V136" i="3"/>
  <c r="V82" i="3" s="1"/>
  <c r="V133" i="3"/>
  <c r="W132" i="3" s="1"/>
  <c r="Q105" i="3"/>
  <c r="Q107" i="3" s="1"/>
  <c r="P105" i="3"/>
  <c r="P107" i="3" s="1"/>
  <c r="R105" i="3"/>
  <c r="R107" i="3" s="1"/>
  <c r="Q21" i="3"/>
  <c r="J93" i="3"/>
  <c r="J31" i="3"/>
  <c r="F26" i="3"/>
  <c r="F126" i="3"/>
  <c r="F127" i="3" s="1"/>
  <c r="M93" i="3"/>
  <c r="M31" i="3"/>
  <c r="M33" i="3" s="1"/>
  <c r="M32" i="3" s="1"/>
  <c r="F93" i="3"/>
  <c r="F31" i="3"/>
  <c r="Q93" i="3"/>
  <c r="Q31" i="3"/>
  <c r="T88" i="3"/>
  <c r="T90" i="3" s="1"/>
  <c r="T87" i="3"/>
  <c r="U103" i="3" s="1"/>
  <c r="I93" i="3"/>
  <c r="I31" i="3"/>
  <c r="I33" i="3" s="1"/>
  <c r="I32" i="3" s="1"/>
  <c r="M8" i="3"/>
  <c r="M160" i="3"/>
  <c r="N93" i="3"/>
  <c r="N31" i="3"/>
  <c r="N33" i="3" s="1"/>
  <c r="N32" i="3" s="1"/>
  <c r="C93" i="3"/>
  <c r="C31" i="3"/>
  <c r="P93" i="3"/>
  <c r="P31" i="3"/>
  <c r="R26" i="3"/>
  <c r="R126" i="3"/>
  <c r="R127" i="3" s="1"/>
  <c r="G89" i="3"/>
  <c r="G92" i="3" s="1"/>
  <c r="H98" i="3"/>
  <c r="H105" i="3" s="1"/>
  <c r="H107" i="3" s="1"/>
  <c r="O93" i="3"/>
  <c r="O31" i="3"/>
  <c r="Q8" i="3"/>
  <c r="Q160" i="3"/>
  <c r="U8" i="3"/>
  <c r="U160" i="3"/>
  <c r="K91" i="3"/>
  <c r="K30" i="3"/>
  <c r="K37" i="3" s="1"/>
  <c r="S105" i="3"/>
  <c r="S107" i="3" s="1"/>
  <c r="G91" i="3"/>
  <c r="G30" i="3"/>
  <c r="G37" i="3" s="1"/>
  <c r="P8" i="3"/>
  <c r="P160" i="3"/>
  <c r="H91" i="3"/>
  <c r="H30" i="3"/>
  <c r="H37" i="3" s="1"/>
  <c r="L91" i="3"/>
  <c r="L30" i="3"/>
  <c r="L37" i="3" s="1"/>
  <c r="S108" i="3"/>
  <c r="J26" i="3"/>
  <c r="J126" i="3"/>
  <c r="J127" i="3" s="1"/>
  <c r="S22" i="3"/>
  <c r="R19" i="3"/>
  <c r="S21" i="3" s="1"/>
  <c r="S8" i="3"/>
  <c r="S160" i="3"/>
  <c r="U86" i="3"/>
  <c r="D108" i="3"/>
  <c r="T8" i="3"/>
  <c r="T160" i="3"/>
  <c r="O8" i="3"/>
  <c r="O160" i="3"/>
  <c r="D93" i="3"/>
  <c r="D31" i="3"/>
  <c r="K89" i="3"/>
  <c r="K92" i="3" s="1"/>
  <c r="L98" i="3"/>
  <c r="L105" i="3" s="1"/>
  <c r="L107" i="3" s="1"/>
  <c r="X10" i="2"/>
  <c r="X11" i="2" s="1"/>
  <c r="X122" i="3" s="1"/>
  <c r="X123" i="3" s="1"/>
  <c r="X124" i="3" s="1"/>
  <c r="Y7" i="2"/>
  <c r="Z7" i="2" s="1"/>
  <c r="Z66" i="3" s="1"/>
  <c r="D33" i="3" l="1"/>
  <c r="D32" i="3" s="1"/>
  <c r="Q126" i="3"/>
  <c r="Q127" i="3" s="1"/>
  <c r="Q108" i="3" s="1"/>
  <c r="D22" i="3"/>
  <c r="P126" i="3"/>
  <c r="P127" i="3" s="1"/>
  <c r="P108" i="3" s="1"/>
  <c r="F19" i="3"/>
  <c r="G21" i="3" s="1"/>
  <c r="D19" i="3"/>
  <c r="E21" i="3" s="1"/>
  <c r="L141" i="3"/>
  <c r="L148" i="3" s="1"/>
  <c r="L151" i="3" s="1"/>
  <c r="L157" i="3" s="1"/>
  <c r="L162" i="3" s="1"/>
  <c r="L163" i="3" s="1"/>
  <c r="Q44" i="3"/>
  <c r="Q91" i="3"/>
  <c r="P44" i="3"/>
  <c r="P91" i="3"/>
  <c r="Q33" i="3"/>
  <c r="Q32" i="3" s="1"/>
  <c r="L22" i="3"/>
  <c r="K21" i="3"/>
  <c r="U126" i="3"/>
  <c r="U127" i="3" s="1"/>
  <c r="U108" i="3" s="1"/>
  <c r="U20" i="3"/>
  <c r="U22" i="3" s="1"/>
  <c r="W192" i="3"/>
  <c r="W193" i="3" s="1"/>
  <c r="W195" i="3" s="1"/>
  <c r="K22" i="3"/>
  <c r="T21" i="3"/>
  <c r="V18" i="3"/>
  <c r="X8" i="3"/>
  <c r="W15" i="3"/>
  <c r="W18" i="3" s="1"/>
  <c r="V27" i="3"/>
  <c r="T29" i="3"/>
  <c r="B141" i="3"/>
  <c r="C148" i="3" s="1"/>
  <c r="U27" i="3"/>
  <c r="E33" i="3"/>
  <c r="E32" i="3" s="1"/>
  <c r="E126" i="3"/>
  <c r="E127" i="3" s="1"/>
  <c r="E108" i="3" s="1"/>
  <c r="W50" i="3"/>
  <c r="W52" i="3" s="1"/>
  <c r="V162" i="3"/>
  <c r="V159" i="3"/>
  <c r="U161" i="3"/>
  <c r="W153" i="3"/>
  <c r="W146" i="3"/>
  <c r="U155" i="3"/>
  <c r="U150" i="3"/>
  <c r="U156" i="3" s="1"/>
  <c r="W154" i="3"/>
  <c r="W147" i="3"/>
  <c r="Z8" i="2"/>
  <c r="Z65" i="3" s="1"/>
  <c r="Z68" i="3" s="1"/>
  <c r="Y65" i="3"/>
  <c r="Y68" i="3" s="1"/>
  <c r="J22" i="3"/>
  <c r="T150" i="3"/>
  <c r="T156" i="3" s="1"/>
  <c r="T161" i="3" s="1"/>
  <c r="V154" i="3"/>
  <c r="V8" i="3" s="1"/>
  <c r="X143" i="3"/>
  <c r="X144" i="3" s="1"/>
  <c r="X49" i="3"/>
  <c r="X145" i="3"/>
  <c r="X7" i="3"/>
  <c r="X171" i="3"/>
  <c r="X181" i="3" s="1"/>
  <c r="X188" i="3" s="1"/>
  <c r="X191" i="3" s="1"/>
  <c r="X6" i="3"/>
  <c r="X117" i="3"/>
  <c r="X118" i="3" s="1"/>
  <c r="X48" i="3"/>
  <c r="W160" i="3"/>
  <c r="G22" i="3"/>
  <c r="L21" i="3"/>
  <c r="C33" i="3"/>
  <c r="C32" i="3" s="1"/>
  <c r="S33" i="3"/>
  <c r="S32" i="3" s="1"/>
  <c r="O33" i="3"/>
  <c r="O32" i="3" s="1"/>
  <c r="P33" i="3"/>
  <c r="P32" i="3" s="1"/>
  <c r="S36" i="3"/>
  <c r="F27" i="3"/>
  <c r="F29" i="3" s="1"/>
  <c r="F36" i="3" s="1"/>
  <c r="B35" i="3"/>
  <c r="J27" i="3"/>
  <c r="J29" i="3" s="1"/>
  <c r="J33" i="3" s="1"/>
  <c r="J32" i="3" s="1"/>
  <c r="R27" i="3"/>
  <c r="R29" i="3" s="1"/>
  <c r="C35" i="3"/>
  <c r="H26" i="3"/>
  <c r="H126" i="3"/>
  <c r="H127" i="3" s="1"/>
  <c r="H108" i="3" s="1"/>
  <c r="I22" i="3"/>
  <c r="H19" i="3"/>
  <c r="H22" i="3"/>
  <c r="Y10" i="2"/>
  <c r="Y11" i="2" s="1"/>
  <c r="Y122" i="3" s="1"/>
  <c r="Y123" i="3" s="1"/>
  <c r="Y124" i="3" s="1"/>
  <c r="Y66" i="3"/>
  <c r="Z168" i="3" s="1"/>
  <c r="X94" i="3"/>
  <c r="X44" i="3" s="1"/>
  <c r="X28" i="3"/>
  <c r="C108" i="3"/>
  <c r="L31" i="3"/>
  <c r="L33" i="3" s="1"/>
  <c r="L32" i="3" s="1"/>
  <c r="H31" i="3"/>
  <c r="J108" i="3"/>
  <c r="G93" i="3"/>
  <c r="G31" i="3"/>
  <c r="G33" i="3" s="1"/>
  <c r="G32" i="3" s="1"/>
  <c r="Q38" i="3"/>
  <c r="M38" i="3"/>
  <c r="R21" i="3"/>
  <c r="J21" i="3"/>
  <c r="L38" i="3"/>
  <c r="P38" i="3"/>
  <c r="T91" i="3"/>
  <c r="T30" i="3"/>
  <c r="R38" i="3"/>
  <c r="K93" i="3"/>
  <c r="K31" i="3"/>
  <c r="K33" i="3" s="1"/>
  <c r="K32" i="3" s="1"/>
  <c r="B34" i="3"/>
  <c r="C34" i="3"/>
  <c r="B37" i="3"/>
  <c r="T89" i="3"/>
  <c r="T92" i="3" s="1"/>
  <c r="U100" i="3"/>
  <c r="U104" i="3"/>
  <c r="U99" i="3"/>
  <c r="U101" i="3"/>
  <c r="U106" i="3"/>
  <c r="U98" i="3"/>
  <c r="U102" i="3"/>
  <c r="F108" i="3"/>
  <c r="V86" i="3"/>
  <c r="U88" i="3"/>
  <c r="U90" i="3" s="1"/>
  <c r="U87" i="3"/>
  <c r="V103" i="3" s="1"/>
  <c r="O38" i="3"/>
  <c r="R108" i="3"/>
  <c r="N38" i="3"/>
  <c r="W133" i="3"/>
  <c r="X132" i="3" s="1"/>
  <c r="W136" i="3"/>
  <c r="W82" i="3" s="1"/>
  <c r="S38" i="3"/>
  <c r="E35" i="3" l="1"/>
  <c r="F21" i="3"/>
  <c r="M141" i="3"/>
  <c r="M148" i="3" s="1"/>
  <c r="D21" i="3"/>
  <c r="W17" i="3"/>
  <c r="W119" i="3"/>
  <c r="W120" i="3" s="1"/>
  <c r="W126" i="3" s="1"/>
  <c r="W127" i="3" s="1"/>
  <c r="W108" i="3" s="1"/>
  <c r="V20" i="3"/>
  <c r="V22" i="3" s="1"/>
  <c r="U19" i="3"/>
  <c r="X192" i="3"/>
  <c r="W16" i="3"/>
  <c r="F35" i="3"/>
  <c r="X15" i="3"/>
  <c r="W20" i="3"/>
  <c r="V29" i="3"/>
  <c r="Y8" i="3"/>
  <c r="U29" i="3"/>
  <c r="T36" i="3"/>
  <c r="T37" i="3"/>
  <c r="Z143" i="3"/>
  <c r="Z144" i="3" s="1"/>
  <c r="Z49" i="3"/>
  <c r="Z117" i="3"/>
  <c r="Z118" i="3" s="1"/>
  <c r="Z7" i="3"/>
  <c r="Z171" i="3"/>
  <c r="Z181" i="3" s="1"/>
  <c r="Z145" i="3"/>
  <c r="Z6" i="3"/>
  <c r="Z48" i="3"/>
  <c r="X193" i="3"/>
  <c r="X195" i="3" s="1"/>
  <c r="X119" i="3" s="1"/>
  <c r="X120" i="3" s="1"/>
  <c r="X126" i="3" s="1"/>
  <c r="X127" i="3" s="1"/>
  <c r="X108" i="3" s="1"/>
  <c r="Z183" i="3"/>
  <c r="Z175" i="3"/>
  <c r="Z185" i="3" s="1"/>
  <c r="Y117" i="3"/>
  <c r="Y118" i="3" s="1"/>
  <c r="Y171" i="3"/>
  <c r="Y181" i="3" s="1"/>
  <c r="Y6" i="3"/>
  <c r="Y143" i="3"/>
  <c r="Y144" i="3" s="1"/>
  <c r="Y147" i="3" s="1"/>
  <c r="Y49" i="3"/>
  <c r="Y145" i="3"/>
  <c r="Y7" i="3"/>
  <c r="Y48" i="3"/>
  <c r="W159" i="3"/>
  <c r="W162" i="3"/>
  <c r="X160" i="3"/>
  <c r="X18" i="3"/>
  <c r="X147" i="3"/>
  <c r="V161" i="3"/>
  <c r="V163" i="3" s="1"/>
  <c r="V9" i="3" s="1"/>
  <c r="X153" i="3"/>
  <c r="V155" i="3"/>
  <c r="X146" i="3"/>
  <c r="Y149" i="3" s="1"/>
  <c r="Z10" i="2"/>
  <c r="Z11" i="2" s="1"/>
  <c r="Z122" i="3" s="1"/>
  <c r="Z123" i="3" s="1"/>
  <c r="Z124" i="3" s="1"/>
  <c r="X50" i="3"/>
  <c r="X52" i="3" s="1"/>
  <c r="X149" i="3"/>
  <c r="D35" i="3"/>
  <c r="R33" i="3"/>
  <c r="R32" i="3" s="1"/>
  <c r="F33" i="3"/>
  <c r="F32" i="3" s="1"/>
  <c r="J35" i="3"/>
  <c r="R36" i="3"/>
  <c r="H27" i="3"/>
  <c r="H29" i="3" s="1"/>
  <c r="J36" i="3"/>
  <c r="Y168" i="3"/>
  <c r="Y94" i="3"/>
  <c r="Y44" i="3" s="1"/>
  <c r="Y28" i="3"/>
  <c r="I21" i="3"/>
  <c r="H21" i="3"/>
  <c r="O35" i="3"/>
  <c r="E34" i="3"/>
  <c r="F34" i="3"/>
  <c r="Q35" i="3"/>
  <c r="X136" i="3"/>
  <c r="X82" i="3" s="1"/>
  <c r="X133" i="3"/>
  <c r="Y132" i="3" s="1"/>
  <c r="U91" i="3"/>
  <c r="U30" i="3"/>
  <c r="M151" i="3"/>
  <c r="M157" i="3" s="1"/>
  <c r="M162" i="3" s="1"/>
  <c r="M163" i="3" s="1"/>
  <c r="N141" i="3"/>
  <c r="N148" i="3" s="1"/>
  <c r="W86" i="3"/>
  <c r="D34" i="3"/>
  <c r="P35" i="3"/>
  <c r="U89" i="3"/>
  <c r="U92" i="3" s="1"/>
  <c r="V100" i="3"/>
  <c r="V99" i="3"/>
  <c r="V104" i="3"/>
  <c r="V106" i="3"/>
  <c r="V101" i="3"/>
  <c r="V98" i="3"/>
  <c r="V102" i="3"/>
  <c r="V88" i="3"/>
  <c r="V90" i="3" s="1"/>
  <c r="V87" i="3"/>
  <c r="W103" i="3" s="1"/>
  <c r="K38" i="3"/>
  <c r="K35" i="3"/>
  <c r="M35" i="3"/>
  <c r="T93" i="3"/>
  <c r="T31" i="3"/>
  <c r="N35" i="3"/>
  <c r="J34" i="3"/>
  <c r="H35" i="3"/>
  <c r="U105" i="3"/>
  <c r="U107" i="3" s="1"/>
  <c r="V19" i="3" l="1"/>
  <c r="V36" i="3"/>
  <c r="Y192" i="3"/>
  <c r="W19" i="3"/>
  <c r="U21" i="3"/>
  <c r="W26" i="3"/>
  <c r="W27" i="3" s="1"/>
  <c r="X16" i="3"/>
  <c r="Z50" i="3"/>
  <c r="Z52" i="3" s="1"/>
  <c r="Z8" i="3"/>
  <c r="Z189" i="3"/>
  <c r="Z191" i="3" s="1"/>
  <c r="Z15" i="3"/>
  <c r="Z18" i="3" s="1"/>
  <c r="U36" i="3"/>
  <c r="Y15" i="3"/>
  <c r="W22" i="3"/>
  <c r="T33" i="3"/>
  <c r="U37" i="3"/>
  <c r="V21" i="3"/>
  <c r="Z28" i="3"/>
  <c r="Z94" i="3"/>
  <c r="Z44" i="3" s="1"/>
  <c r="Z146" i="3"/>
  <c r="Z153" i="3"/>
  <c r="X17" i="3"/>
  <c r="Z147" i="3"/>
  <c r="Z192" i="3"/>
  <c r="X26" i="3"/>
  <c r="Y154" i="3"/>
  <c r="W150" i="3"/>
  <c r="W156" i="3" s="1"/>
  <c r="V150" i="3"/>
  <c r="V156" i="3" s="1"/>
  <c r="X154" i="3"/>
  <c r="X162" i="3"/>
  <c r="X159" i="3"/>
  <c r="W161" i="3"/>
  <c r="W163" i="3" s="1"/>
  <c r="W9" i="3" s="1"/>
  <c r="Y18" i="3"/>
  <c r="Y16" i="3"/>
  <c r="Y160" i="3"/>
  <c r="Y146" i="3"/>
  <c r="Z149" i="3" s="1"/>
  <c r="Z154" i="3" s="1"/>
  <c r="Y153" i="3"/>
  <c r="W155" i="3"/>
  <c r="X155" i="3"/>
  <c r="Y50" i="3"/>
  <c r="Y52" i="3" s="1"/>
  <c r="G35" i="3"/>
  <c r="H36" i="3"/>
  <c r="H33" i="3"/>
  <c r="H32" i="3" s="1"/>
  <c r="I34" i="3" s="1"/>
  <c r="R35" i="3"/>
  <c r="S35" i="3"/>
  <c r="Y175" i="3"/>
  <c r="Y185" i="3" s="1"/>
  <c r="Y183" i="3"/>
  <c r="Y189" i="3" s="1"/>
  <c r="R34" i="3"/>
  <c r="T38" i="3"/>
  <c r="M34" i="3"/>
  <c r="S34" i="3"/>
  <c r="G34" i="3"/>
  <c r="Y136" i="3"/>
  <c r="Y82" i="3" s="1"/>
  <c r="Y133" i="3"/>
  <c r="Z132" i="3" s="1"/>
  <c r="V105" i="3"/>
  <c r="V107" i="3" s="1"/>
  <c r="H34" i="3"/>
  <c r="N34" i="3"/>
  <c r="V91" i="3"/>
  <c r="V30" i="3"/>
  <c r="P34" i="3"/>
  <c r="W88" i="3"/>
  <c r="W90" i="3" s="1"/>
  <c r="W87" i="3"/>
  <c r="X103" i="3" s="1"/>
  <c r="N151" i="3"/>
  <c r="N157" i="3" s="1"/>
  <c r="N162" i="3" s="1"/>
  <c r="N163" i="3" s="1"/>
  <c r="N9" i="3" s="1"/>
  <c r="O141" i="3"/>
  <c r="O148" i="3" s="1"/>
  <c r="Q34" i="3"/>
  <c r="O34" i="3"/>
  <c r="L35" i="3"/>
  <c r="K34" i="3"/>
  <c r="V89" i="3"/>
  <c r="V92" i="3" s="1"/>
  <c r="W100" i="3"/>
  <c r="W99" i="3"/>
  <c r="W101" i="3"/>
  <c r="W104" i="3"/>
  <c r="W106" i="3"/>
  <c r="W98" i="3"/>
  <c r="W102" i="3"/>
  <c r="U93" i="3"/>
  <c r="U31" i="3"/>
  <c r="X86" i="3"/>
  <c r="Z161" i="3" l="1"/>
  <c r="X20" i="3"/>
  <c r="W21" i="3"/>
  <c r="X27" i="3"/>
  <c r="W29" i="3"/>
  <c r="Z16" i="3"/>
  <c r="V37" i="3"/>
  <c r="U33" i="3"/>
  <c r="U35" i="3" s="1"/>
  <c r="T32" i="3"/>
  <c r="Z159" i="3"/>
  <c r="Z162" i="3"/>
  <c r="Z133" i="3"/>
  <c r="Z136" i="3"/>
  <c r="Z82" i="3" s="1"/>
  <c r="Z86" i="3" s="1"/>
  <c r="Z193" i="3"/>
  <c r="Z195" i="3" s="1"/>
  <c r="Z160" i="3"/>
  <c r="Y161" i="3"/>
  <c r="X150" i="3"/>
  <c r="X156" i="3" s="1"/>
  <c r="Y162" i="3"/>
  <c r="Y159" i="3"/>
  <c r="X161" i="3"/>
  <c r="X163" i="3" s="1"/>
  <c r="X9" i="3" s="1"/>
  <c r="I35" i="3"/>
  <c r="Y191" i="3"/>
  <c r="Y193" i="3" s="1"/>
  <c r="Y195" i="3" s="1"/>
  <c r="Y17" i="3" s="1"/>
  <c r="L34" i="3"/>
  <c r="Y86" i="3"/>
  <c r="V93" i="3"/>
  <c r="V31" i="3"/>
  <c r="W91" i="3"/>
  <c r="W30" i="3"/>
  <c r="T35" i="3"/>
  <c r="O151" i="3"/>
  <c r="O157" i="3" s="1"/>
  <c r="O162" i="3" s="1"/>
  <c r="O163" i="3" s="1"/>
  <c r="O9" i="3" s="1"/>
  <c r="P141" i="3"/>
  <c r="P148" i="3" s="1"/>
  <c r="W89" i="3"/>
  <c r="W92" i="3" s="1"/>
  <c r="X101" i="3"/>
  <c r="X100" i="3"/>
  <c r="X104" i="3"/>
  <c r="X99" i="3"/>
  <c r="X106" i="3"/>
  <c r="X102" i="3"/>
  <c r="X98" i="3"/>
  <c r="X88" i="3"/>
  <c r="X90" i="3" s="1"/>
  <c r="X87" i="3"/>
  <c r="U38" i="3"/>
  <c r="W105" i="3"/>
  <c r="W107" i="3" s="1"/>
  <c r="X22" i="3" l="1"/>
  <c r="X19" i="3"/>
  <c r="X21" i="3" s="1"/>
  <c r="X29" i="3"/>
  <c r="Y20" i="3"/>
  <c r="W36" i="3"/>
  <c r="W37" i="3"/>
  <c r="V33" i="3"/>
  <c r="U32" i="3"/>
  <c r="Z163" i="3"/>
  <c r="Z9" i="3" s="1"/>
  <c r="Z87" i="3"/>
  <c r="Z89" i="3" s="1"/>
  <c r="Z88" i="3"/>
  <c r="Z90" i="3" s="1"/>
  <c r="Z119" i="3"/>
  <c r="Z120" i="3" s="1"/>
  <c r="Z17" i="3"/>
  <c r="Y163" i="3"/>
  <c r="Y9" i="3" s="1"/>
  <c r="Y119" i="3"/>
  <c r="Y120" i="3" s="1"/>
  <c r="Y126" i="3" s="1"/>
  <c r="Y127" i="3" s="1"/>
  <c r="Y108" i="3" s="1"/>
  <c r="Y19" i="3"/>
  <c r="Y22" i="3"/>
  <c r="V38" i="3"/>
  <c r="X91" i="3"/>
  <c r="X30" i="3"/>
  <c r="P151" i="3"/>
  <c r="P157" i="3" s="1"/>
  <c r="P162" i="3" s="1"/>
  <c r="P163" i="3" s="1"/>
  <c r="P9" i="3" s="1"/>
  <c r="Q141" i="3"/>
  <c r="Q148" i="3" s="1"/>
  <c r="Y88" i="3"/>
  <c r="Y90" i="3" s="1"/>
  <c r="Y87" i="3"/>
  <c r="X105" i="3"/>
  <c r="X107" i="3" s="1"/>
  <c r="X89" i="3"/>
  <c r="X92" i="3" s="1"/>
  <c r="Y101" i="3"/>
  <c r="Y99" i="3"/>
  <c r="Y100" i="3"/>
  <c r="Y106" i="3"/>
  <c r="Y104" i="3"/>
  <c r="Y102" i="3"/>
  <c r="Y98" i="3"/>
  <c r="W93" i="3"/>
  <c r="W31" i="3"/>
  <c r="U34" i="3"/>
  <c r="T34" i="3"/>
  <c r="Y103" i="3"/>
  <c r="X36" i="3" l="1"/>
  <c r="Z20" i="3"/>
  <c r="V32" i="3"/>
  <c r="W33" i="3"/>
  <c r="W35" i="3" s="1"/>
  <c r="X37" i="3"/>
  <c r="Z30" i="3"/>
  <c r="Z91" i="3"/>
  <c r="Z26" i="3"/>
  <c r="Z126" i="3"/>
  <c r="Z127" i="3" s="1"/>
  <c r="Z108" i="3" s="1"/>
  <c r="Y89" i="3"/>
  <c r="Y92" i="3" s="1"/>
  <c r="Y93" i="3" s="1"/>
  <c r="Z104" i="3"/>
  <c r="Z100" i="3"/>
  <c r="Z101" i="3"/>
  <c r="Z102" i="3"/>
  <c r="Z99" i="3"/>
  <c r="Z98" i="3"/>
  <c r="Z106" i="3"/>
  <c r="Z92" i="3"/>
  <c r="Z103" i="3"/>
  <c r="Y26" i="3"/>
  <c r="Y21" i="3"/>
  <c r="Y91" i="3"/>
  <c r="Y30" i="3"/>
  <c r="Y105" i="3"/>
  <c r="Y107" i="3" s="1"/>
  <c r="X93" i="3"/>
  <c r="X31" i="3"/>
  <c r="W38" i="3"/>
  <c r="Q151" i="3"/>
  <c r="Q157" i="3" s="1"/>
  <c r="Q162" i="3" s="1"/>
  <c r="Q163" i="3" s="1"/>
  <c r="Q9" i="3" s="1"/>
  <c r="R141" i="3"/>
  <c r="R148" i="3" s="1"/>
  <c r="V35" i="3"/>
  <c r="V34" i="3" l="1"/>
  <c r="Y27" i="3"/>
  <c r="Z27" i="3"/>
  <c r="Z19" i="3"/>
  <c r="Z22" i="3"/>
  <c r="W32" i="3"/>
  <c r="X33" i="3"/>
  <c r="X35" i="3" s="1"/>
  <c r="Z37" i="3"/>
  <c r="Y37" i="3"/>
  <c r="Z93" i="3"/>
  <c r="Z31" i="3"/>
  <c r="Y31" i="3"/>
  <c r="Z105" i="3"/>
  <c r="Z107" i="3" s="1"/>
  <c r="R151" i="3"/>
  <c r="R157" i="3" s="1"/>
  <c r="R162" i="3" s="1"/>
  <c r="R163" i="3" s="1"/>
  <c r="R9" i="3" s="1"/>
  <c r="S141" i="3"/>
  <c r="S148" i="3" s="1"/>
  <c r="X38" i="3"/>
  <c r="Y29" i="3" l="1"/>
  <c r="Y36" i="3" s="1"/>
  <c r="Z29" i="3"/>
  <c r="Z33" i="3" s="1"/>
  <c r="Z21" i="3"/>
  <c r="Y38" i="3"/>
  <c r="X32" i="3"/>
  <c r="Z38" i="3"/>
  <c r="S151" i="3"/>
  <c r="S157" i="3" s="1"/>
  <c r="S162" i="3" s="1"/>
  <c r="S163" i="3" s="1"/>
  <c r="S9" i="3" s="1"/>
  <c r="T141" i="3"/>
  <c r="T148" i="3" s="1"/>
  <c r="W34" i="3"/>
  <c r="Y33" i="3" l="1"/>
  <c r="Y35" i="3" s="1"/>
  <c r="Z36" i="3"/>
  <c r="X34" i="3"/>
  <c r="Z32" i="3"/>
  <c r="Y32" i="3"/>
  <c r="T151" i="3"/>
  <c r="T157" i="3" s="1"/>
  <c r="T162" i="3" s="1"/>
  <c r="T163" i="3" s="1"/>
  <c r="T9" i="3" s="1"/>
  <c r="U141" i="3"/>
  <c r="U148" i="3" s="1"/>
  <c r="Z35" i="3" l="1"/>
  <c r="Z34" i="3"/>
  <c r="Y34" i="3"/>
  <c r="U151" i="3"/>
  <c r="U157" i="3" s="1"/>
  <c r="U162" i="3" s="1"/>
  <c r="U163" i="3" s="1"/>
  <c r="U9" i="3" s="1"/>
  <c r="V141" i="3"/>
  <c r="V148" i="3" s="1"/>
  <c r="V151" i="3" l="1"/>
  <c r="V157" i="3" s="1"/>
  <c r="W141" i="3"/>
  <c r="W148" i="3" s="1"/>
  <c r="W151" i="3" l="1"/>
  <c r="W157" i="3" s="1"/>
  <c r="X141" i="3"/>
  <c r="X148" i="3" s="1"/>
  <c r="X151" i="3" l="1"/>
  <c r="X157" i="3" s="1"/>
  <c r="Y141" i="3"/>
  <c r="Z141" i="3" l="1"/>
  <c r="Y148" i="3"/>
  <c r="Y151" i="3" s="1"/>
  <c r="Y157" i="3" s="1"/>
  <c r="Z148" i="3" l="1"/>
  <c r="Z151" i="3" s="1"/>
  <c r="Z15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tc={BD70D834-9906-4452-991A-8FCA57405AA2}</author>
  </authors>
  <commentList>
    <comment ref="A22" authorId="0" shapeId="0" xr:uid="{BD70D834-9906-4452-991A-8FCA57405AA2}">
      <text>
        <t>[Threaded comment]
Your version of Excel allows you to read this threaded comment; however, any edits to it will get removed if the file is opened in a newer version of Excel. Learn more: https://go.microsoft.com/fwlink/?linkid=870924
Comment:
    Eurostat and then estimated where unavailable based on historical cost per person. 
(GF1005)General government; Social protection; unemployment; total expenditure
(available on Eurostat COFOG)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tc={215B74B8-73D7-4331-B4C7-BB6D23C8EEE2}</author>
    <author>tc={CCBA43F7-6069-41C2-BC91-521E4CA8298F}</author>
  </authors>
  <commentList>
    <comment ref="Y24" authorId="0" shapeId="0" xr:uid="{215B74B8-73D7-4331-B4C7-BB6D23C8EEE2}">
      <text>
        <t>[Threaded comment]
Your version of Excel allows you to read this threaded comment; however, any edits to it will get removed if the file is opened in a newer version of Excel. Learn more: https://go.microsoft.com/fwlink/?linkid=870924
Comment:
    MTO currently set up to 2022. Thereafter the MTO is assumed constant at -0.5 per cent</t>
      </text>
    </comment>
    <comment ref="V28" authorId="1" shapeId="0" xr:uid="{CCBA43F7-6069-41C2-BC91-521E4CA8298F}">
      <text>
        <t>[Threaded comment]
Your version of Excel allows you to read this threaded comment; however, any edits to it will get removed if the file is opened in a newer version of Excel. Learn more: https://go.microsoft.com/fwlink/?linkid=870924
Comment:
    650 million of brexit sectoral supports have, for the time being, been classified as temporary measures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tc={AFD2C21D-5137-45B3-9A69-05D8D9D14F54}</author>
    <author>killian.carroll</author>
    <author>Eddie Casey</author>
    <author>Anon</author>
  </authors>
  <commentList>
    <comment ref="S71" authorId="0" shapeId="0" xr:uid="{AFD2C21D-5137-45B3-9A69-05D8D9D14F54}">
      <text>
        <t>[Threaded comment]
Your version of Excel allows you to read this threaded comment; however, any edits to it will get removed if the file is opened in a newer version of Excel. Learn more: https://go.microsoft.com/fwlink/?linkid=870924
Comment:
    Only one-offs after 01/01/2017 are taken into account for the Expenditure Benchmark claculation.</t>
      </text>
    </comment>
    <comment ref="R106" authorId="1" shapeId="0" xr:uid="{00000000-0006-0000-0300-000001000000}">
      <text>
        <r>
          <rPr>
            <b/>
            <sz val="9"/>
            <color indexed="81"/>
            <rFont val="Tahoma"/>
            <family val="2"/>
          </rPr>
          <t>killian.carroll:</t>
        </r>
        <r>
          <rPr>
            <sz val="9"/>
            <color indexed="81"/>
            <rFont val="Tahoma"/>
            <family val="2"/>
          </rPr>
          <t xml:space="preserve">
One-offs not included prior to 2017
</t>
        </r>
      </text>
    </comment>
    <comment ref="Q113" authorId="2" shapeId="0" xr:uid="{00000000-0006-0000-0300-000002000000}">
      <text>
        <r>
          <rPr>
            <b/>
            <sz val="9"/>
            <color indexed="81"/>
            <rFont val="Tahoma"/>
            <family val="2"/>
          </rPr>
          <t>Eddie Casey:</t>
        </r>
        <r>
          <rPr>
            <sz val="9"/>
            <color indexed="81"/>
            <rFont val="Tahoma"/>
            <family val="2"/>
          </rPr>
          <t xml:space="preserve">
The outlier for Potential GDP Growth for 2015 is replaced by the average of the 2014 and 2016 rates in the expenditure benchmark, as discussed in the June 2017 FAR </t>
        </r>
      </text>
    </comment>
    <comment ref="A131" authorId="3" shapeId="0" xr:uid="{00000000-0006-0000-0300-000003000000}">
      <text>
        <r>
          <rPr>
            <b/>
            <sz val="9"/>
            <color indexed="81"/>
            <rFont val="Tahoma"/>
            <family val="2"/>
          </rPr>
          <t>Anon:</t>
        </r>
        <r>
          <rPr>
            <sz val="9"/>
            <color indexed="81"/>
            <rFont val="Tahoma"/>
            <family val="2"/>
          </rPr>
          <t xml:space="preserve">
Eurostat and then estimated where unavailable based on historical cost per person. 
(GF1005)General government; Social protection; unemployment; total expenditure
(available on Eurostat COFOG)</t>
        </r>
      </text>
    </comment>
    <comment ref="A132" authorId="3" shapeId="0" xr:uid="{00000000-0006-0000-0300-000004000000}">
      <text>
        <r>
          <rPr>
            <b/>
            <sz val="9"/>
            <color indexed="81"/>
            <rFont val="Tahoma"/>
            <family val="2"/>
          </rPr>
          <t>Anon:</t>
        </r>
        <r>
          <rPr>
            <sz val="9"/>
            <color indexed="81"/>
            <rFont val="Tahoma"/>
            <family val="2"/>
          </rPr>
          <t xml:space="preserve">
Eurostat and then estimated where unavailable based on historical cost per person. 
(GF1005)General government; Social protection; unemployment; total expenditure
(available on Eurostat COFOG)</t>
        </r>
      </text>
    </comment>
  </commentList>
</comments>
</file>

<file path=xl/sharedStrings.xml><?xml version="1.0" encoding="utf-8"?>
<sst xmlns="http://schemas.openxmlformats.org/spreadsheetml/2006/main" count="270" uniqueCount="214">
  <si>
    <t>CSO Data</t>
  </si>
  <si>
    <t>General Government Transactions ESA 2010: Revenue, Expenditure, Financing and Deficit</t>
  </si>
  <si>
    <t>Revenue - ESA2010 Code (TR)</t>
  </si>
  <si>
    <t>Expenditure - ESA2010 Code (TE)</t>
  </si>
  <si>
    <t>Expenditure - Interest (excluding FISIM) - ESA2010 Code (D41)</t>
  </si>
  <si>
    <t>General Government Surplus/Deficit - ESA2010 Code (B9)</t>
  </si>
  <si>
    <t>Gross fixed capital formation - ESA2010 Code (P51)</t>
  </si>
  <si>
    <t>Gross General Government Debt (EDP face value) - Gross General Government Debt - ESA2010 Code (GGDebt)</t>
  </si>
  <si>
    <t>Nominal GDP</t>
  </si>
  <si>
    <t>Nominal GNI*</t>
  </si>
  <si>
    <t>Real GDP</t>
  </si>
  <si>
    <t>Number of unemployed (000s)</t>
  </si>
  <si>
    <t>Unemployment rate (%)</t>
  </si>
  <si>
    <t>Historical Data (inputs used in all assessments)</t>
  </si>
  <si>
    <t>Forecasts / Estimates used</t>
  </si>
  <si>
    <t>Unemployment</t>
  </si>
  <si>
    <t>Real GDP Growth</t>
  </si>
  <si>
    <t>GDP Deflator</t>
  </si>
  <si>
    <t>GDP Deflator Growth</t>
  </si>
  <si>
    <t>DoF Mid-Point Potential Output Growth (GDP-based)</t>
  </si>
  <si>
    <t>DoF Mid-Point Output Gap (GDP-based)</t>
  </si>
  <si>
    <t>Balance</t>
  </si>
  <si>
    <t>Revenue one-offs</t>
  </si>
  <si>
    <t>Expenditure one-offs</t>
  </si>
  <si>
    <t>One-Offs</t>
  </si>
  <si>
    <t>Discretionary Revenue Measures</t>
  </si>
  <si>
    <t>GFCF</t>
  </si>
  <si>
    <t>Interest</t>
  </si>
  <si>
    <t>EU co-financed current spending</t>
  </si>
  <si>
    <t>Gross Debt</t>
  </si>
  <si>
    <t>Assumed NAWRU</t>
  </si>
  <si>
    <t>Real GDP (2016 prices)</t>
  </si>
  <si>
    <t>DoF Mid-Point Potential Output (GDP-based) (€Bn)</t>
  </si>
  <si>
    <t>Department of Finance (Figures)</t>
  </si>
  <si>
    <t>Corrective Arm</t>
  </si>
  <si>
    <t xml:space="preserve">   General Government Balance Excl. One-Offs</t>
  </si>
  <si>
    <t xml:space="preserve">   General Government Debt </t>
  </si>
  <si>
    <t xml:space="preserve">   1/20th Debt Rule Limit</t>
  </si>
  <si>
    <t xml:space="preserve">   Debt Rule met?</t>
  </si>
  <si>
    <t>Preventive Arm &amp; Domestic Budgetary Rule</t>
  </si>
  <si>
    <t xml:space="preserve">   Structural Balance Adjustment Requirement</t>
  </si>
  <si>
    <t xml:space="preserve">   MTO for the Structural Balance</t>
  </si>
  <si>
    <t xml:space="preserve">   Structural Balance</t>
  </si>
  <si>
    <t xml:space="preserve">   MTO met?</t>
  </si>
  <si>
    <t xml:space="preserve">   Minimum Change in Structural Balance Required</t>
  </si>
  <si>
    <t xml:space="preserve">   Change in Structural Balance</t>
  </si>
  <si>
    <t xml:space="preserve">   1yr Deviation (€bn)                      </t>
  </si>
  <si>
    <t xml:space="preserve">   1yr Deviation (p.p.)                      </t>
  </si>
  <si>
    <t xml:space="preserve">   2yr Deviation (€bn)                      </t>
  </si>
  <si>
    <t xml:space="preserve">   2yr Deviation (p.p.)                      </t>
  </si>
  <si>
    <t xml:space="preserve">   Expenditure Benchmark </t>
  </si>
  <si>
    <t xml:space="preserve">   (a) Reference Rate of Potential Growth (% y/y)</t>
  </si>
  <si>
    <t xml:space="preserve">   (b) Convergence Margin</t>
  </si>
  <si>
    <t xml:space="preserve">   (a-b) Limit for Real Net Expenditure Growth (% y/y)</t>
  </si>
  <si>
    <t xml:space="preserve">   GDP Deflator used</t>
  </si>
  <si>
    <t xml:space="preserve">   Limit for Nominal Net Expenditure Growth (% y/y)</t>
  </si>
  <si>
    <t xml:space="preserve">   Net Expenditure Growth (% y/y)</t>
  </si>
  <si>
    <t xml:space="preserve">   Net Expenditure Growth (Corrected for one-offs) (% y/y)</t>
  </si>
  <si>
    <t xml:space="preserve">   1yr Deviation (Corrected for one-offs) (€bn)                              </t>
  </si>
  <si>
    <t xml:space="preserve">   2yr Deviation (Corrected for one-offs) (€bn)                              </t>
  </si>
  <si>
    <t xml:space="preserve">   Limit for Nominal Net Expenditure Growth (€bn)</t>
  </si>
  <si>
    <t xml:space="preserve">   Net Expenditure Increase (€bn)</t>
  </si>
  <si>
    <t xml:space="preserve">   Net Expenditure Increase (Corrected for one-offs) (€bn)</t>
  </si>
  <si>
    <t>Current Macroeconomic Aggregates</t>
  </si>
  <si>
    <t xml:space="preserve">   Real GDP Growth (% y/y)</t>
  </si>
  <si>
    <t xml:space="preserve">   Potential GDP Growth (% y/y)</t>
  </si>
  <si>
    <t xml:space="preserve">   GDP Output Gap </t>
  </si>
  <si>
    <t xml:space="preserve">   GDP Deflator Used (% y/y)</t>
  </si>
  <si>
    <t>Structural Primary Balance</t>
  </si>
  <si>
    <t>Primary Balance</t>
  </si>
  <si>
    <t>Less one-offs</t>
  </si>
  <si>
    <t>Primary Balance excl. one-offs</t>
  </si>
  <si>
    <t>Output Gap</t>
  </si>
  <si>
    <t>Total Expenditure</t>
  </si>
  <si>
    <t>DRMs</t>
  </si>
  <si>
    <t>Background Data &amp; Calculations</t>
  </si>
  <si>
    <t>Basics</t>
  </si>
  <si>
    <t>Revenue</t>
  </si>
  <si>
    <t>Expenditure</t>
  </si>
  <si>
    <t>Potential GDP</t>
  </si>
  <si>
    <t>Nominal Potential GDP</t>
  </si>
  <si>
    <t>One-offs</t>
  </si>
  <si>
    <t>Expenditure Benchmark Calculations</t>
  </si>
  <si>
    <t>The Corrected Expenditure Aggregate (CEA) is:</t>
  </si>
  <si>
    <t>Less Interest</t>
  </si>
  <si>
    <t>Less EU co-financed current spending</t>
  </si>
  <si>
    <t>Less Public Investment (GFCF)</t>
  </si>
  <si>
    <t>Plus four-year avg of Public Investment</t>
  </si>
  <si>
    <t>Less Cyclical Unemployment Expenditure</t>
  </si>
  <si>
    <t>Less One-Off Expenditure Items</t>
  </si>
  <si>
    <t>Corrected Expenditure Aggregate (G -Int - EU - (I - Iav)- UC)</t>
  </si>
  <si>
    <t>Corrected Expenditure Aggregate (Net of Exp One-off)</t>
  </si>
  <si>
    <t>Corrected expenditure aggregate net of DRM and RML* (nominal)</t>
  </si>
  <si>
    <t>Corrected Expenditure Aggregate (Net of Exp One-off, DRM RML)</t>
  </si>
  <si>
    <t>Net Expenditure Growth % (nominal)</t>
  </si>
  <si>
    <t>Net Expenditure Growth % (real)</t>
  </si>
  <si>
    <t>Net Expenditure Growth (net of Exp One-off, DRM) % (nominal)</t>
  </si>
  <si>
    <t>Net Expenditure Growth (net of Exp One-off, DRM) % (real)</t>
  </si>
  <si>
    <t xml:space="preserve">General Government Expenditure Growth </t>
  </si>
  <si>
    <t>Public Investment (GFCF)</t>
  </si>
  <si>
    <t>Four-year avg of Public Investment</t>
  </si>
  <si>
    <t>Cyclical Unemployment Expenditure</t>
  </si>
  <si>
    <t>Net Expenditure Growth</t>
  </si>
  <si>
    <t>Limit for Net Expenditure Growth (% y/y)</t>
  </si>
  <si>
    <t>Walk to Net Expenditure Growth (Net of one-offs)</t>
  </si>
  <si>
    <t>One-off Expenditure items</t>
  </si>
  <si>
    <t>Net Expenditure Growth (Net of one-offs)</t>
  </si>
  <si>
    <t>Expenditure Benchmark Limit Calculations</t>
  </si>
  <si>
    <t>Potential Output Growth</t>
  </si>
  <si>
    <t>Potential Output Growth (corrected for 2015)</t>
  </si>
  <si>
    <t>Calculated Reference Rate</t>
  </si>
  <si>
    <t>Reference Rates</t>
  </si>
  <si>
    <t>Primary Expenditure</t>
  </si>
  <si>
    <t>Primary Expenditure Assumed</t>
  </si>
  <si>
    <t>Adjustment Requirement</t>
  </si>
  <si>
    <t>Convergence Margin</t>
  </si>
  <si>
    <t>GDP Deflator used</t>
  </si>
  <si>
    <t>Expenditure Benchmark Real Limit</t>
  </si>
  <si>
    <t>Expenditure Benchmark Nominal Limit</t>
  </si>
  <si>
    <t>Cyclical Unemployment Benefit Costs/Savings</t>
  </si>
  <si>
    <t>Total unemployment benefit expenditure (€bn)</t>
  </si>
  <si>
    <t>Est Total unemployment benefit expenditure (€bn)</t>
  </si>
  <si>
    <t>Unemployment benefit per person - Est.</t>
  </si>
  <si>
    <t>NAWRU =5.5%</t>
  </si>
  <si>
    <t>Cyclical unemployment expenditure (€m)</t>
  </si>
  <si>
    <t>Debt Rule Calculations</t>
  </si>
  <si>
    <t>Parameters (i.e., weights on 3yrs assessed starting with yr1)</t>
  </si>
  <si>
    <t>Deflator Index: 2005</t>
  </si>
  <si>
    <t>Cyclical component of GGB</t>
  </si>
  <si>
    <t>Debt Ratio</t>
  </si>
  <si>
    <t>Positive Difference from 60% ("Auxiliary")</t>
  </si>
  <si>
    <t>Sum of nominal cyclical gaps</t>
  </si>
  <si>
    <t>Nominal potential output</t>
  </si>
  <si>
    <t>Bwd</t>
  </si>
  <si>
    <t>Fwd</t>
  </si>
  <si>
    <t>Cyclical</t>
  </si>
  <si>
    <t>Gross Debt Ratio</t>
  </si>
  <si>
    <t>Backward-Looking Rule</t>
  </si>
  <si>
    <t>Forward-Looking Debt Ratio</t>
  </si>
  <si>
    <t>Forward-Looking Rule</t>
  </si>
  <si>
    <t xml:space="preserve">Cyclically Adjusted </t>
  </si>
  <si>
    <t>Below 60% Debt Ceiling?</t>
  </si>
  <si>
    <t>Backward-Looking Rule Met?</t>
  </si>
  <si>
    <t>Forward-Looking Rule Met?</t>
  </si>
  <si>
    <t>Cyclically Adjusted Rule Met?</t>
  </si>
  <si>
    <t>Overall Debt Rule Met?</t>
  </si>
  <si>
    <t>Structural Balance Adjustment Requirement Calculations</t>
  </si>
  <si>
    <t>Sustainability Risk?</t>
  </si>
  <si>
    <t>N</t>
  </si>
  <si>
    <t>Conditions</t>
  </si>
  <si>
    <t>Exceptionally Bad Times (Real growth &lt;0 or Output Gap &lt;-4)</t>
  </si>
  <si>
    <t>Very Bad Times (-4 ≤ Output Gap &lt; -3)</t>
  </si>
  <si>
    <t>Bad Times (-3 ≤ Output Gap &lt; -1.5)</t>
  </si>
  <si>
    <t>Normal Times (-1.5 ≤ Output Gap &lt; 1.5)</t>
  </si>
  <si>
    <t>Good Times (Output Gap ≥ 1.5)</t>
  </si>
  <si>
    <t>Debt above 60% or sustainability risk?</t>
  </si>
  <si>
    <t>Growth above potential?</t>
  </si>
  <si>
    <t>Exceptionally Bad Times</t>
  </si>
  <si>
    <t>Very Bad Times</t>
  </si>
  <si>
    <t>Bad Times</t>
  </si>
  <si>
    <t>Normal Times</t>
  </si>
  <si>
    <t>Good Times</t>
  </si>
  <si>
    <t>Calculated Adjustment Req before considering gap to MTO</t>
  </si>
  <si>
    <t>Gap to MTO in Previous Year</t>
  </si>
  <si>
    <t>Calculated Adj Req after considering gap to MTO in t-1</t>
  </si>
  <si>
    <t>General Government Expenditure</t>
  </si>
  <si>
    <t>General Government Revenue</t>
  </si>
  <si>
    <t>General Government Balance</t>
  </si>
  <si>
    <t>Domestic Fiscal Rules Assessment Spreadsheet</t>
  </si>
  <si>
    <t>Figures for historical years, are base on the Council's current approach to the fiscal rules and are not necessarily an indication of the Council's prior assessment of these years.</t>
  </si>
  <si>
    <t xml:space="preserve">   1yr Deviation (Corrected for one-offs) (% GNI*)                         </t>
  </si>
  <si>
    <t xml:space="preserve">   2yr Deviation (Corrected for one-offs) (% GNI*)                       </t>
  </si>
  <si>
    <t>Total unemployment benefit expenditure (Eurostat)</t>
  </si>
  <si>
    <t>Nominal GDP growth</t>
  </si>
  <si>
    <t>Fiscal Council's Figures</t>
  </si>
  <si>
    <t>MTO</t>
  </si>
  <si>
    <t>GDP Deflator (corrected for 2015)</t>
  </si>
  <si>
    <t>Criteria</t>
  </si>
  <si>
    <t>Fiscal Council (Approach prior to May 2019)</t>
  </si>
  <si>
    <t>European Commission Approach</t>
  </si>
  <si>
    <t>Potential Output and the Output Gap</t>
  </si>
  <si>
    <t>The Department's GDP-based estimates of potential output and the output gap.</t>
  </si>
  <si>
    <r>
      <t xml:space="preserve">The Department's CAM-based estimates of potential output and the output gap were used in all </t>
    </r>
    <r>
      <rPr>
        <i/>
        <sz val="9"/>
        <color theme="1"/>
        <rFont val="Source Sans Pro"/>
        <family val="2"/>
      </rPr>
      <t xml:space="preserve">Fiscal Assessment Reports </t>
    </r>
    <r>
      <rPr>
        <sz val="9"/>
        <color theme="1"/>
        <rFont val="Source Sans Pro"/>
        <family val="2"/>
      </rPr>
      <t xml:space="preserve">prior to May 2019. For the </t>
    </r>
    <r>
      <rPr>
        <i/>
        <sz val="9"/>
        <color theme="1"/>
        <rFont val="Source Sans Pro"/>
        <family val="2"/>
      </rPr>
      <t xml:space="preserve">ex-post </t>
    </r>
    <r>
      <rPr>
        <sz val="9"/>
        <color theme="1"/>
        <rFont val="Source Sans Pro"/>
        <family val="2"/>
      </rPr>
      <t>Assessment</t>
    </r>
    <r>
      <rPr>
        <i/>
        <sz val="9"/>
        <color theme="1"/>
        <rFont val="Source Sans Pro"/>
        <family val="2"/>
      </rPr>
      <t xml:space="preserve">, </t>
    </r>
    <r>
      <rPr>
        <sz val="9"/>
        <color theme="1"/>
        <rFont val="Source Sans Pro"/>
        <family val="2"/>
      </rPr>
      <t>the European Commission's own CAM-based estimates were used.</t>
    </r>
  </si>
  <si>
    <t>The European Commission's own CAM-based estimates of potential output and the output gap.</t>
  </si>
  <si>
    <t>Reference Rate for Expenditure Benchmark</t>
  </si>
  <si>
    <t>Based on the Department's latest estimates of GDP-based potential output growth (i.e. not frozen).</t>
  </si>
  <si>
    <r>
      <t xml:space="preserve">Reference rate frozen by the Commission in spring of year </t>
    </r>
    <r>
      <rPr>
        <i/>
        <sz val="9"/>
        <color theme="1"/>
        <rFont val="Source Sans Pro"/>
        <family val="2"/>
      </rPr>
      <t>t-1</t>
    </r>
    <r>
      <rPr>
        <sz val="9"/>
        <color theme="1"/>
        <rFont val="Source Sans Pro"/>
        <family val="2"/>
      </rPr>
      <t xml:space="preserve">, for assessment of year </t>
    </r>
    <r>
      <rPr>
        <i/>
        <sz val="9"/>
        <color theme="1"/>
        <rFont val="Source Sans Pro"/>
        <family val="2"/>
      </rPr>
      <t xml:space="preserve">t. </t>
    </r>
    <r>
      <rPr>
        <sz val="9"/>
        <color theme="1"/>
        <rFont val="Source Sans Pro"/>
        <family val="2"/>
      </rPr>
      <t xml:space="preserve">The same reference rate is used for the </t>
    </r>
    <r>
      <rPr>
        <i/>
        <sz val="9"/>
        <color theme="1"/>
        <rFont val="Source Sans Pro"/>
        <family val="2"/>
      </rPr>
      <t>ex-post</t>
    </r>
    <r>
      <rPr>
        <sz val="9"/>
        <color theme="1"/>
        <rFont val="Source Sans Pro"/>
        <family val="2"/>
      </rPr>
      <t xml:space="preserve"> assessment. For later years (e.g. years </t>
    </r>
    <r>
      <rPr>
        <i/>
        <sz val="9"/>
        <color theme="1"/>
        <rFont val="Source Sans Pro"/>
        <family val="2"/>
      </rPr>
      <t xml:space="preserve">t+2 </t>
    </r>
    <r>
      <rPr>
        <sz val="9"/>
        <color theme="1"/>
        <rFont val="Source Sans Pro"/>
        <family val="2"/>
      </rPr>
      <t>onwards) Fiscal Council uses the Department’s CAM-based estimates of potential output.</t>
    </r>
  </si>
  <si>
    <r>
      <t xml:space="preserve">Based on the European Commission's CAM-based estimates of potential output, frozen in spring of year </t>
    </r>
    <r>
      <rPr>
        <i/>
        <sz val="9"/>
        <color theme="1"/>
        <rFont val="Source Sans Pro"/>
        <family val="2"/>
      </rPr>
      <t>t-1.</t>
    </r>
    <r>
      <rPr>
        <sz val="9"/>
        <color theme="1"/>
        <rFont val="Source Sans Pro"/>
        <family val="2"/>
      </rPr>
      <t xml:space="preserve"> No reference rate is set for </t>
    </r>
    <r>
      <rPr>
        <i/>
        <sz val="9"/>
        <color theme="1"/>
        <rFont val="Source Sans Pro"/>
        <family val="2"/>
      </rPr>
      <t xml:space="preserve">t+2 </t>
    </r>
    <r>
      <rPr>
        <sz val="9"/>
        <color theme="1"/>
        <rFont val="Source Sans Pro"/>
        <family val="2"/>
      </rPr>
      <t>or later years.</t>
    </r>
  </si>
  <si>
    <t>Deflator for Expenditure Benchmark</t>
  </si>
  <si>
    <t>Based on the Department's latest estimates of the demand-side GDP deflator (i.e. not frozen).</t>
  </si>
  <si>
    <r>
      <t xml:space="preserve">Based on the European Commission's estimates of the GDP deflator, frozen in spring of year </t>
    </r>
    <r>
      <rPr>
        <i/>
        <sz val="9"/>
        <color theme="1"/>
        <rFont val="Source Sans Pro"/>
        <family val="2"/>
      </rPr>
      <t>t-1.</t>
    </r>
  </si>
  <si>
    <t>Adjustment Requirement and Convergence Margin</t>
  </si>
  <si>
    <r>
      <t xml:space="preserve">Compliance assessed based on the most favourable of the adjustment requirements and convergence margins in the spring or autumn of year </t>
    </r>
    <r>
      <rPr>
        <i/>
        <sz val="9"/>
        <color theme="1"/>
        <rFont val="Source Sans Pro"/>
        <family val="2"/>
      </rPr>
      <t>t-1</t>
    </r>
    <r>
      <rPr>
        <sz val="9"/>
        <color theme="1"/>
        <rFont val="Source Sans Pro"/>
        <family val="2"/>
      </rPr>
      <t xml:space="preserve">, or spring of </t>
    </r>
    <r>
      <rPr>
        <i/>
        <sz val="9"/>
        <color theme="1"/>
        <rFont val="Source Sans Pro"/>
        <family val="2"/>
      </rPr>
      <t>t+1</t>
    </r>
    <r>
      <rPr>
        <sz val="9"/>
        <color theme="1"/>
        <rFont val="Source Sans Pro"/>
        <family val="2"/>
      </rPr>
      <t xml:space="preserve"> for the </t>
    </r>
    <r>
      <rPr>
        <i/>
        <sz val="9"/>
        <color theme="1"/>
        <rFont val="Source Sans Pro"/>
        <family val="2"/>
      </rPr>
      <t>ex-post</t>
    </r>
    <r>
      <rPr>
        <sz val="9"/>
        <color theme="1"/>
        <rFont val="Source Sans Pro"/>
        <family val="2"/>
      </rPr>
      <t xml:space="preserve"> assessment (all based on the Commission’s estimates of the output gap). No negative convergence margin applied.</t>
    </r>
  </si>
  <si>
    <r>
      <t xml:space="preserve">Based on the European Commission's estimates of distance from the MTO that are frozen in either spring or autumn of year </t>
    </r>
    <r>
      <rPr>
        <i/>
        <sz val="9"/>
        <color theme="1"/>
        <rFont val="Source Sans Pro"/>
        <family val="2"/>
      </rPr>
      <t>t-1</t>
    </r>
    <r>
      <rPr>
        <sz val="9"/>
        <color theme="1"/>
        <rFont val="Source Sans Pro"/>
        <family val="2"/>
      </rPr>
      <t xml:space="preserve"> (whichever is more favourable). For ex-post assessment, requirements can be unfrozen in spring of year </t>
    </r>
    <r>
      <rPr>
        <i/>
        <sz val="9"/>
        <color theme="1"/>
        <rFont val="Source Sans Pro"/>
        <family val="2"/>
      </rPr>
      <t>t+1</t>
    </r>
    <r>
      <rPr>
        <sz val="9"/>
        <color theme="1"/>
        <rFont val="Source Sans Pro"/>
        <family val="2"/>
      </rPr>
      <t xml:space="preserve"> if these are more favourable in terms of compliance. Negative convergence margin allowed.</t>
    </r>
  </si>
  <si>
    <t>NAWRU</t>
  </si>
  <si>
    <t>Assumed constant at 5.5%.</t>
  </si>
  <si>
    <t>The Department's latest CAM-based estimates of the NAWRU.</t>
  </si>
  <si>
    <t>The Commission's latest CAM-based estimates of the NAWRU.</t>
  </si>
  <si>
    <t>Margin of Tolerance</t>
  </si>
  <si>
    <t>No margin of tolerance.</t>
  </si>
  <si>
    <t>0.25% of GDP from the MTO.</t>
  </si>
  <si>
    <t>Significant Deviation from the Expenditure Benchmark</t>
  </si>
  <si>
    <t>0.5% and 0.25% of GNI* for 1-year and 2-year assessment respectively.</t>
  </si>
  <si>
    <t>0.5% and 0.25% of GDP for 1-year and 2-year assessment respectively.</t>
  </si>
  <si>
    <t>Budgetary Semi-Elasticity</t>
  </si>
  <si>
    <r>
      <t>Based on the latest estimates of distance from the MTO in year</t>
    </r>
    <r>
      <rPr>
        <i/>
        <sz val="9"/>
        <color theme="1"/>
        <rFont val="Source Sans Pro"/>
        <family val="2"/>
      </rPr>
      <t xml:space="preserve"> </t>
    </r>
    <r>
      <rPr>
        <sz val="9"/>
        <color theme="1"/>
        <rFont val="Source Sans Pro"/>
        <family val="2"/>
      </rPr>
      <t>t-1 (i.e. not frozen).No negative convergence margin applied.</t>
    </r>
  </si>
  <si>
    <t>Fiscal Council (Principles-based Approach)</t>
  </si>
  <si>
    <t xml:space="preserve">Note: For a full explanation of the Council’s Principles-based Approach (PBA) to the Domestic Budgetary Rule see Box A of Ex-post assessment of compliance with the Domestic Budgetary Rule 2018 (Fiscal Council, 2019) and Box M of the Fiscal Assessment Report November 2019. </t>
  </si>
  <si>
    <t>Outline of the Council’s principles-based approach to the Budgetary Rule</t>
  </si>
  <si>
    <t>This spreadsheet provides historical data and calculations used for assessing Ireland's domestic fiscal rules. It is based on the Council's "Principles-Based Approach" to the domestic Budgetary Rule.</t>
  </si>
  <si>
    <t>For more information on the "Principles-Based Approach", please read:</t>
  </si>
  <si>
    <t xml:space="preserve">https://www.fiscalcouncil.ie/wp-content/uploads/2019/08/Box-A-Principles-Based-Approach-to-the-Budgetary-Rule.pdf </t>
  </si>
  <si>
    <t>Fiscal Council Assessment:</t>
  </si>
  <si>
    <t>"Principles-based Approach"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</si>
</sst>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rgb="FF0A3D50"/>
      <name val="Source Sans Pro"/>
      <family val="2"/>
    </font>
    <font>
      <sz val="12"/>
      <color theme="1"/>
      <name val="Source Sans Pro"/>
      <family val="2"/>
    </font>
    <font>
      <b/>
      <sz val="10"/>
      <color theme="3" tint="-0.499984740745262"/>
      <name val="Source Sans Pro"/>
      <family val="2"/>
    </font>
    <font>
      <sz val="11"/>
      <color theme="0"/>
      <name val="Source Sans Pro"/>
      <family val="2"/>
    </font>
    <font>
      <sz val="9"/>
      <name val="Source Sans Pro"/>
      <family val="2"/>
    </font>
    <font>
      <b/>
      <sz val="9"/>
      <color theme="1"/>
      <name val="Source Sans Pro"/>
      <family val="2"/>
    </font>
    <font>
      <sz val="9"/>
      <color theme="1"/>
      <name val="Source Sans Pro"/>
      <family val="2"/>
    </font>
    <font>
      <i/>
      <sz val="9"/>
      <color theme="1"/>
      <name val="Source Sans Pro"/>
      <family val="2"/>
    </font>
    <font>
      <sz val="9"/>
      <color rgb="FF7F7F7F"/>
      <name val="Source Sans Pro"/>
      <family val="2"/>
    </font>
    <font>
      <b/>
      <sz val="10.5"/>
      <color rgb="FF0060B0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theme="1" tint="0.14999847407452621"/>
      <name val="Source Sans Pro"/>
      <family val="2"/>
    </font>
    <font>
      <b/>
      <sz val="18"/>
      <color theme="2"/>
      <name val="Source Sans Pro"/>
      <family val="2"/>
    </font>
    <font>
      <b/>
      <sz val="10"/>
      <color theme="1"/>
      <name val="Source Sans Pro"/>
      <family val="2"/>
    </font>
    <font>
      <sz val="10"/>
      <color theme="1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u/>
      <sz val="10"/>
      <color theme="1"/>
      <name val="Source Sans Pro"/>
      <family val="2"/>
    </font>
    <font>
      <i/>
      <sz val="10"/>
      <color theme="1"/>
      <name val="Source Sans Pro"/>
      <family val="2"/>
    </font>
    <font>
      <b/>
      <i/>
      <sz val="10"/>
      <color theme="1"/>
      <name val="Source Sans Pro"/>
      <family val="2"/>
    </font>
    <font>
      <b/>
      <u/>
      <sz val="10"/>
      <color theme="1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FE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7F7F7F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0" fillId="5" borderId="3" xfId="0" applyFont="1" applyFill="1" applyBorder="1" applyAlignment="1">
      <alignment vertical="center" wrapText="1"/>
    </xf>
    <xf numFmtId="0" fontId="16" fillId="2" borderId="0" xfId="0" applyFont="1" applyFill="1" applyAlignment="1"/>
    <xf numFmtId="0" fontId="16" fillId="2" borderId="0" xfId="0" applyFont="1" applyFill="1"/>
    <xf numFmtId="0" fontId="0" fillId="6" borderId="0" xfId="0" applyFill="1"/>
    <xf numFmtId="0" fontId="6" fillId="6" borderId="0" xfId="0" applyFont="1" applyFill="1" applyAlignment="1">
      <alignment vertical="center" wrapText="1"/>
    </xf>
    <xf numFmtId="0" fontId="16" fillId="2" borderId="0" xfId="0" applyFont="1" applyFill="1" applyAlignment="1">
      <alignment wrapText="1"/>
    </xf>
    <xf numFmtId="0" fontId="1" fillId="6" borderId="0" xfId="0" applyFont="1" applyFill="1"/>
    <xf numFmtId="0" fontId="17" fillId="2" borderId="0" xfId="0" applyFont="1" applyFill="1"/>
    <xf numFmtId="0" fontId="1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19" fillId="2" borderId="0" xfId="0" applyFont="1" applyFill="1"/>
    <xf numFmtId="0" fontId="8" fillId="2" borderId="0" xfId="0" applyFont="1" applyFill="1"/>
    <xf numFmtId="3" fontId="20" fillId="2" borderId="0" xfId="0" applyNumberFormat="1" applyFont="1" applyFill="1"/>
    <xf numFmtId="3" fontId="21" fillId="2" borderId="0" xfId="0" applyNumberFormat="1" applyFont="1" applyFill="1"/>
    <xf numFmtId="3" fontId="18" fillId="2" borderId="0" xfId="0" applyNumberFormat="1" applyFont="1" applyFill="1"/>
    <xf numFmtId="3" fontId="19" fillId="2" borderId="0" xfId="0" applyNumberFormat="1" applyFont="1" applyFill="1"/>
    <xf numFmtId="164" fontId="21" fillId="2" borderId="0" xfId="0" applyNumberFormat="1" applyFont="1" applyFill="1"/>
    <xf numFmtId="0" fontId="19" fillId="2" borderId="0" xfId="0" applyFont="1" applyFill="1" applyBorder="1"/>
    <xf numFmtId="0" fontId="18" fillId="2" borderId="1" xfId="0" applyFont="1" applyFill="1" applyBorder="1"/>
    <xf numFmtId="0" fontId="19" fillId="2" borderId="1" xfId="0" applyFont="1" applyFill="1" applyBorder="1"/>
    <xf numFmtId="0" fontId="18" fillId="2" borderId="0" xfId="0" applyFont="1" applyFill="1" applyBorder="1"/>
    <xf numFmtId="0" fontId="19" fillId="2" borderId="2" xfId="0" applyFont="1" applyFill="1" applyBorder="1"/>
    <xf numFmtId="165" fontId="19" fillId="2" borderId="0" xfId="0" applyNumberFormat="1" applyFont="1" applyFill="1"/>
    <xf numFmtId="166" fontId="19" fillId="2" borderId="0" xfId="1" applyNumberFormat="1" applyFont="1" applyFill="1"/>
    <xf numFmtId="164" fontId="19" fillId="2" borderId="0" xfId="0" applyNumberFormat="1" applyFont="1" applyFill="1"/>
    <xf numFmtId="1" fontId="19" fillId="2" borderId="0" xfId="0" applyNumberFormat="1" applyFont="1" applyFill="1"/>
    <xf numFmtId="3" fontId="19" fillId="2" borderId="2" xfId="0" applyNumberFormat="1" applyFont="1" applyFill="1" applyBorder="1"/>
    <xf numFmtId="0" fontId="1" fillId="6" borderId="2" xfId="0" applyFont="1" applyFill="1" applyBorder="1"/>
    <xf numFmtId="0" fontId="1" fillId="2" borderId="2" xfId="0" applyFont="1" applyFill="1" applyBorder="1"/>
    <xf numFmtId="0" fontId="8" fillId="6" borderId="0" xfId="0" applyFont="1" applyFill="1"/>
    <xf numFmtId="0" fontId="9" fillId="2" borderId="0" xfId="0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9" fillId="6" borderId="0" xfId="0" applyFont="1" applyFill="1" applyBorder="1"/>
    <xf numFmtId="0" fontId="18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center" vertical="center"/>
    </xf>
    <xf numFmtId="0" fontId="19" fillId="6" borderId="0" xfId="0" applyFont="1" applyFill="1" applyBorder="1"/>
    <xf numFmtId="0" fontId="19" fillId="2" borderId="0" xfId="0" applyFont="1" applyFill="1" applyBorder="1" applyAlignment="1">
      <alignment horizontal="left" vertical="center"/>
    </xf>
    <xf numFmtId="164" fontId="19" fillId="2" borderId="0" xfId="0" applyNumberFormat="1" applyFont="1" applyFill="1" applyBorder="1" applyAlignment="1">
      <alignment horizontal="center" vertical="center"/>
    </xf>
    <xf numFmtId="165" fontId="19" fillId="2" borderId="0" xfId="0" applyNumberFormat="1" applyFont="1" applyFill="1" applyBorder="1" applyAlignment="1">
      <alignment horizontal="center" vertical="center"/>
    </xf>
    <xf numFmtId="167" fontId="19" fillId="2" borderId="0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wrapText="1"/>
    </xf>
    <xf numFmtId="0" fontId="18" fillId="2" borderId="0" xfId="0" applyFont="1" applyFill="1" applyBorder="1" applyAlignment="1"/>
    <xf numFmtId="164" fontId="18" fillId="2" borderId="0" xfId="0" applyNumberFormat="1" applyFont="1" applyFill="1" applyBorder="1" applyAlignment="1">
      <alignment horizontal="center" vertical="center"/>
    </xf>
    <xf numFmtId="0" fontId="18" fillId="6" borderId="0" xfId="0" applyFont="1" applyFill="1" applyBorder="1"/>
    <xf numFmtId="0" fontId="19" fillId="2" borderId="0" xfId="0" applyFont="1" applyFill="1" applyBorder="1" applyAlignment="1"/>
    <xf numFmtId="165" fontId="18" fillId="2" borderId="0" xfId="0" applyNumberFormat="1" applyFont="1" applyFill="1" applyBorder="1" applyAlignment="1">
      <alignment horizontal="center" vertical="center"/>
    </xf>
    <xf numFmtId="4" fontId="19" fillId="2" borderId="0" xfId="0" applyNumberFormat="1" applyFont="1" applyFill="1" applyBorder="1" applyAlignment="1">
      <alignment horizontal="center" vertical="center"/>
    </xf>
    <xf numFmtId="165" fontId="19" fillId="2" borderId="0" xfId="0" applyNumberFormat="1" applyFont="1" applyFill="1" applyBorder="1"/>
    <xf numFmtId="0" fontId="19" fillId="6" borderId="0" xfId="0" applyFont="1" applyFill="1"/>
    <xf numFmtId="0" fontId="22" fillId="2" borderId="0" xfId="0" applyFont="1" applyFill="1"/>
    <xf numFmtId="164" fontId="18" fillId="2" borderId="0" xfId="0" applyNumberFormat="1" applyFont="1" applyFill="1"/>
    <xf numFmtId="0" fontId="19" fillId="2" borderId="0" xfId="0" applyFont="1" applyFill="1" applyAlignment="1">
      <alignment wrapText="1"/>
    </xf>
    <xf numFmtId="165" fontId="23" fillId="2" borderId="0" xfId="0" applyNumberFormat="1" applyFont="1" applyFill="1"/>
    <xf numFmtId="165" fontId="24" fillId="2" borderId="0" xfId="0" applyNumberFormat="1" applyFont="1" applyFill="1"/>
    <xf numFmtId="165" fontId="18" fillId="2" borderId="0" xfId="0" applyNumberFormat="1" applyFont="1" applyFill="1"/>
    <xf numFmtId="2" fontId="19" fillId="2" borderId="0" xfId="0" applyNumberFormat="1" applyFont="1" applyFill="1" applyAlignment="1">
      <alignment horizontal="right"/>
    </xf>
    <xf numFmtId="0" fontId="18" fillId="2" borderId="0" xfId="0" applyFont="1" applyFill="1" applyAlignment="1">
      <alignment wrapText="1"/>
    </xf>
    <xf numFmtId="0" fontId="18" fillId="6" borderId="0" xfId="0" applyFont="1" applyFill="1"/>
    <xf numFmtId="164" fontId="19" fillId="2" borderId="0" xfId="0" applyNumberFormat="1" applyFont="1" applyFill="1" applyAlignment="1">
      <alignment horizontal="right"/>
    </xf>
    <xf numFmtId="3" fontId="19" fillId="6" borderId="0" xfId="0" applyNumberFormat="1" applyFont="1" applyFill="1"/>
    <xf numFmtId="0" fontId="25" fillId="2" borderId="0" xfId="0" applyFont="1" applyFill="1"/>
    <xf numFmtId="165" fontId="19" fillId="2" borderId="0" xfId="0" applyNumberFormat="1" applyFont="1" applyFill="1" applyAlignment="1">
      <alignment horizontal="right"/>
    </xf>
    <xf numFmtId="0" fontId="19" fillId="2" borderId="0" xfId="0" applyFont="1" applyFill="1" applyAlignment="1">
      <alignment horizontal="right"/>
    </xf>
    <xf numFmtId="2" fontId="19" fillId="2" borderId="0" xfId="0" applyNumberFormat="1" applyFont="1" applyFill="1"/>
    <xf numFmtId="4" fontId="19" fillId="2" borderId="0" xfId="0" applyNumberFormat="1" applyFont="1" applyFill="1" applyAlignment="1">
      <alignment horizontal="right"/>
    </xf>
    <xf numFmtId="2" fontId="18" fillId="2" borderId="0" xfId="0" applyNumberFormat="1" applyFont="1" applyFill="1" applyAlignment="1">
      <alignment horizontal="right"/>
    </xf>
    <xf numFmtId="0" fontId="11" fillId="6" borderId="0" xfId="0" applyFont="1" applyFill="1"/>
    <xf numFmtId="3" fontId="11" fillId="6" borderId="0" xfId="0" applyNumberFormat="1" applyFont="1" applyFill="1"/>
    <xf numFmtId="4" fontId="11" fillId="6" borderId="0" xfId="0" applyNumberFormat="1" applyFont="1" applyFill="1"/>
    <xf numFmtId="2" fontId="11" fillId="6" borderId="0" xfId="0" applyNumberFormat="1" applyFont="1" applyFill="1"/>
    <xf numFmtId="164" fontId="11" fillId="6" borderId="0" xfId="0" applyNumberFormat="1" applyFont="1" applyFill="1"/>
    <xf numFmtId="165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165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2" fontId="19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2" fontId="18" fillId="2" borderId="0" xfId="0" applyNumberFormat="1" applyFont="1" applyFill="1" applyAlignment="1">
      <alignment horizontal="center" vertical="center"/>
    </xf>
    <xf numFmtId="164" fontId="19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/>
    <xf numFmtId="0" fontId="15" fillId="2" borderId="0" xfId="2" applyFill="1" applyAlignment="1">
      <alignment wrapText="1"/>
    </xf>
    <xf numFmtId="0" fontId="13" fillId="0" borderId="6" xfId="0" applyFont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2">
    <dxf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5" tint="-0.24994659260841701"/>
      </font>
      <fill>
        <patternFill>
          <bgColor theme="5" tint="0.79998168889431442"/>
        </patternFill>
      </fill>
      <border>
        <left style="thin">
          <color theme="5" tint="-0.24994659260841701"/>
        </left>
        <right style="thin">
          <color theme="5" tint="-0.24994659260841701"/>
        </right>
        <top style="thin">
          <color theme="5" tint="-0.24994659260841701"/>
        </top>
        <bottom style="thin">
          <color theme="5" tint="-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104776</xdr:rowOff>
    </xdr:from>
    <xdr:to>
      <xdr:col>3</xdr:col>
      <xdr:colOff>1447800</xdr:colOff>
      <xdr:row>4</xdr:row>
      <xdr:rowOff>185892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D5991C-90E8-40D6-8FDB-7094CC461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04776"/>
          <a:ext cx="3267075" cy="84311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illian Carroll" id="{FD2DF40C-B90A-487C-84F8-0B37CA956964}" userId="S::Killian.Carroll@fiscalcouncil.ie::ee657733-9aca-4898-b9b0-cca56d962188" providerId="AD"/>
</personList>
</file>

<file path=xl/theme/theme1.xml><?xml version="1.0" encoding="utf-8"?>
<a:theme xmlns:a="http://schemas.openxmlformats.org/drawingml/2006/main" name="Office Theme">
  <a:themeElements>
    <a:clrScheme name="Ifac">
      <a:dk1>
        <a:sysClr val="windowText" lastClr="000000"/>
      </a:dk1>
      <a:lt1>
        <a:sysClr val="window" lastClr="FFFFFF"/>
      </a:lt1>
      <a:dk2>
        <a:srgbClr val="1F497D"/>
      </a:dk2>
      <a:lt2>
        <a:srgbClr val="0A3D50"/>
      </a:lt2>
      <a:accent1>
        <a:srgbClr val="4F81BD"/>
      </a:accent1>
      <a:accent2>
        <a:srgbClr val="63DFEB"/>
      </a:accent2>
      <a:accent3>
        <a:srgbClr val="4F093C"/>
      </a:accent3>
      <a:accent4>
        <a:srgbClr val="48AC98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2" dT="2019-10-24T16:53:16.84" personId="{FD2DF40C-B90A-487C-84F8-0B37CA956964}" id="{BD70D834-9906-4452-991A-8FCA57405AA2}">
    <text>Eurostat and then estimated where unavailable based on historical cost per person. 
(GF1005)General government; Social protection; unemployment; total expenditure
(available on Eurostat COFOG)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Y24" dT="2019-10-24T16:53:59.56" personId="{FD2DF40C-B90A-487C-84F8-0B37CA956964}" id="{215B74B8-73D7-4331-B4C7-BB6D23C8EEE2}">
    <text>MTO currently set up to 2022. Thereafter the MTO is assumed constant at -0.5 per cent</text>
  </threadedComment>
  <threadedComment ref="V28" dT="2019-11-19T11:20:25.96" personId="{FD2DF40C-B90A-487C-84F8-0B37CA956964}" id="{CCBA43F7-6069-41C2-BC91-521E4CA8298F}">
    <text>650 million of brexit sectoral supports have, for the time being, been classified as temporary measures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S71" dT="2019-11-19T11:21:12.20" personId="{FD2DF40C-B90A-487C-84F8-0B37CA956964}" id="{AFD2C21D-5137-45B3-9A69-05D8D9D14F54}">
    <text>Only one-offs after 01/01/2017 are taken into account for the Expenditure Benchmark claculation.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fiscalcouncil.ie/wp-content/uploads/2019/08/Box-A-Principles-Based-Approach-to-the-Budgetary-Rule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AS120"/>
  <sheetViews>
    <sheetView workbookViewId="0">
      <selection activeCell="E27" sqref="E27"/>
    </sheetView>
  </sheetViews>
  <sheetFormatPr defaultRowHeight="15" x14ac:dyDescent="0.25"/>
  <cols>
    <col min="1" max="1" width="4" style="18" customWidth="1"/>
    <col min="2" max="2" width="2" style="3" customWidth="1"/>
    <col min="3" max="3" width="27.28515625" style="3" customWidth="1"/>
    <col min="4" max="5" width="26.5703125" style="3" customWidth="1"/>
    <col min="6" max="6" width="33.140625" style="3" customWidth="1"/>
    <col min="7" max="7" width="3.85546875" style="3" customWidth="1"/>
    <col min="8" max="45" width="4" style="18" customWidth="1"/>
    <col min="46" max="16384" width="9.140625" style="3"/>
  </cols>
  <sheetData>
    <row r="7" spans="3:7" ht="21" x14ac:dyDescent="0.25">
      <c r="C7" s="2" t="s">
        <v>168</v>
      </c>
    </row>
    <row r="8" spans="3:7" ht="27.75" customHeight="1" x14ac:dyDescent="0.25">
      <c r="C8" s="96" t="s">
        <v>209</v>
      </c>
      <c r="D8" s="96"/>
      <c r="E8" s="96"/>
      <c r="F8" s="96"/>
      <c r="G8" s="20"/>
    </row>
    <row r="9" spans="3:7" ht="43.5" customHeight="1" x14ac:dyDescent="0.25">
      <c r="C9" s="96" t="s">
        <v>169</v>
      </c>
      <c r="D9" s="96"/>
      <c r="E9" s="96"/>
      <c r="F9" s="96"/>
      <c r="G9" s="20"/>
    </row>
    <row r="10" spans="3:7" x14ac:dyDescent="0.25">
      <c r="C10" s="16"/>
      <c r="D10" s="16"/>
      <c r="E10" s="16"/>
      <c r="F10" s="16"/>
      <c r="G10" s="17"/>
    </row>
    <row r="11" spans="3:7" x14ac:dyDescent="0.25">
      <c r="C11" s="97" t="s">
        <v>210</v>
      </c>
      <c r="D11" s="97"/>
      <c r="E11" s="97"/>
      <c r="F11" s="97"/>
      <c r="G11" s="16"/>
    </row>
    <row r="12" spans="3:7" ht="15" customHeight="1" x14ac:dyDescent="0.25">
      <c r="C12" s="98" t="s">
        <v>211</v>
      </c>
      <c r="D12" s="98"/>
      <c r="E12" s="98"/>
      <c r="F12" s="98"/>
      <c r="G12" s="20"/>
    </row>
    <row r="13" spans="3:7" x14ac:dyDescent="0.25">
      <c r="C13" s="16"/>
      <c r="D13" s="16"/>
      <c r="E13" s="16"/>
      <c r="F13" s="16"/>
      <c r="G13" s="16"/>
    </row>
    <row r="14" spans="3:7" ht="50.25" customHeight="1" x14ac:dyDescent="0.25">
      <c r="C14" s="4"/>
      <c r="D14" s="4"/>
      <c r="E14" s="4"/>
      <c r="F14" s="4"/>
      <c r="G14" s="4"/>
    </row>
    <row r="15" spans="3:7" ht="15" customHeight="1" thickBot="1" x14ac:dyDescent="0.3">
      <c r="C15" s="14" t="s">
        <v>208</v>
      </c>
      <c r="D15" s="4"/>
      <c r="E15" s="4"/>
      <c r="F15" s="4"/>
      <c r="G15" s="4"/>
    </row>
    <row r="16" spans="3:7" ht="43.5" customHeight="1" thickBot="1" x14ac:dyDescent="0.3">
      <c r="C16" s="15" t="s">
        <v>177</v>
      </c>
      <c r="D16" s="6" t="s">
        <v>206</v>
      </c>
      <c r="E16" s="5" t="s">
        <v>178</v>
      </c>
      <c r="F16" s="6" t="s">
        <v>179</v>
      </c>
    </row>
    <row r="17" spans="3:7" ht="102.75" customHeight="1" x14ac:dyDescent="0.25">
      <c r="C17" s="7" t="s">
        <v>180</v>
      </c>
      <c r="D17" s="13" t="s">
        <v>181</v>
      </c>
      <c r="E17" s="8" t="s">
        <v>182</v>
      </c>
      <c r="F17" s="8" t="s">
        <v>183</v>
      </c>
    </row>
    <row r="18" spans="3:7" ht="113.25" customHeight="1" x14ac:dyDescent="0.25">
      <c r="C18" s="9" t="s">
        <v>184</v>
      </c>
      <c r="D18" s="10" t="s">
        <v>185</v>
      </c>
      <c r="E18" s="10" t="s">
        <v>186</v>
      </c>
      <c r="F18" s="10" t="s">
        <v>187</v>
      </c>
    </row>
    <row r="19" spans="3:7" ht="48" x14ac:dyDescent="0.25">
      <c r="C19" s="7" t="s">
        <v>188</v>
      </c>
      <c r="D19" s="8" t="s">
        <v>189</v>
      </c>
      <c r="E19" s="8" t="s">
        <v>190</v>
      </c>
      <c r="F19" s="8" t="s">
        <v>190</v>
      </c>
    </row>
    <row r="20" spans="3:7" ht="120" x14ac:dyDescent="0.25">
      <c r="C20" s="9" t="s">
        <v>191</v>
      </c>
      <c r="D20" s="10" t="s">
        <v>205</v>
      </c>
      <c r="E20" s="10" t="s">
        <v>192</v>
      </c>
      <c r="F20" s="10" t="s">
        <v>193</v>
      </c>
    </row>
    <row r="21" spans="3:7" ht="24" customHeight="1" x14ac:dyDescent="0.25">
      <c r="C21" s="7" t="s">
        <v>194</v>
      </c>
      <c r="D21" s="8" t="s">
        <v>195</v>
      </c>
      <c r="E21" s="8" t="s">
        <v>196</v>
      </c>
      <c r="F21" s="8" t="s">
        <v>197</v>
      </c>
    </row>
    <row r="22" spans="3:7" ht="34.5" customHeight="1" x14ac:dyDescent="0.25">
      <c r="C22" s="9" t="s">
        <v>198</v>
      </c>
      <c r="D22" s="10" t="s">
        <v>199</v>
      </c>
      <c r="E22" s="10" t="s">
        <v>199</v>
      </c>
      <c r="F22" s="10" t="s">
        <v>200</v>
      </c>
    </row>
    <row r="23" spans="3:7" ht="48" customHeight="1" x14ac:dyDescent="0.25">
      <c r="C23" s="7" t="s">
        <v>201</v>
      </c>
      <c r="D23" s="8" t="s">
        <v>202</v>
      </c>
      <c r="E23" s="8" t="s">
        <v>203</v>
      </c>
      <c r="F23" s="8" t="s">
        <v>203</v>
      </c>
    </row>
    <row r="24" spans="3:7" ht="21.75" customHeight="1" thickBot="1" x14ac:dyDescent="0.3">
      <c r="C24" s="11" t="s">
        <v>204</v>
      </c>
      <c r="D24" s="12">
        <v>0.58799999999999997</v>
      </c>
      <c r="E24" s="12">
        <v>0.52200000000000002</v>
      </c>
      <c r="F24" s="12">
        <v>0.52200000000000002</v>
      </c>
    </row>
    <row r="25" spans="3:7" ht="21.75" customHeight="1" x14ac:dyDescent="0.25">
      <c r="C25" s="99" t="s">
        <v>207</v>
      </c>
      <c r="D25" s="99"/>
      <c r="E25" s="99"/>
      <c r="F25" s="99"/>
      <c r="G25" s="4"/>
    </row>
    <row r="26" spans="3:7" ht="15" customHeight="1" x14ac:dyDescent="0.25">
      <c r="C26" s="4"/>
      <c r="D26" s="4"/>
      <c r="E26" s="4"/>
      <c r="F26" s="4"/>
      <c r="G26" s="4"/>
    </row>
    <row r="27" spans="3:7" s="18" customFormat="1" ht="15" customHeight="1" x14ac:dyDescent="0.25">
      <c r="C27" s="19"/>
      <c r="D27" s="19"/>
      <c r="E27" s="19"/>
      <c r="F27" s="19"/>
      <c r="G27" s="19"/>
    </row>
    <row r="28" spans="3:7" s="18" customFormat="1" ht="15" customHeight="1" x14ac:dyDescent="0.25">
      <c r="C28" s="19"/>
      <c r="D28" s="19"/>
      <c r="E28" s="19"/>
      <c r="F28" s="19"/>
      <c r="G28" s="19"/>
    </row>
    <row r="29" spans="3:7" s="18" customFormat="1" x14ac:dyDescent="0.25"/>
    <row r="30" spans="3:7" s="18" customFormat="1" x14ac:dyDescent="0.25"/>
    <row r="31" spans="3:7" s="18" customFormat="1" ht="84" customHeight="1" x14ac:dyDescent="0.25">
      <c r="C31" s="19"/>
      <c r="D31" s="19"/>
      <c r="E31" s="19"/>
      <c r="F31" s="19"/>
      <c r="G31" s="19"/>
    </row>
    <row r="32" spans="3:7" s="18" customFormat="1" x14ac:dyDescent="0.25"/>
    <row r="33" spans="3:7" s="18" customFormat="1" ht="34.5" customHeight="1" x14ac:dyDescent="0.25">
      <c r="C33" s="19"/>
      <c r="D33" s="19"/>
      <c r="E33" s="19"/>
      <c r="F33" s="19"/>
      <c r="G33" s="19"/>
    </row>
    <row r="34" spans="3:7" s="18" customFormat="1" x14ac:dyDescent="0.25"/>
    <row r="35" spans="3:7" s="18" customFormat="1" ht="78" customHeight="1" x14ac:dyDescent="0.25">
      <c r="C35" s="19"/>
      <c r="D35" s="19"/>
      <c r="E35" s="19"/>
      <c r="F35" s="19"/>
      <c r="G35" s="19"/>
    </row>
    <row r="36" spans="3:7" s="18" customFormat="1" x14ac:dyDescent="0.25"/>
    <row r="37" spans="3:7" s="18" customFormat="1" x14ac:dyDescent="0.25"/>
    <row r="38" spans="3:7" s="18" customFormat="1" x14ac:dyDescent="0.25"/>
    <row r="39" spans="3:7" s="18" customFormat="1" x14ac:dyDescent="0.25"/>
    <row r="40" spans="3:7" s="18" customFormat="1" x14ac:dyDescent="0.25"/>
    <row r="41" spans="3:7" s="18" customFormat="1" x14ac:dyDescent="0.25"/>
    <row r="42" spans="3:7" s="18" customFormat="1" x14ac:dyDescent="0.25"/>
    <row r="43" spans="3:7" s="18" customFormat="1" x14ac:dyDescent="0.25"/>
    <row r="44" spans="3:7" s="18" customFormat="1" x14ac:dyDescent="0.25"/>
    <row r="45" spans="3:7" s="18" customFormat="1" x14ac:dyDescent="0.25"/>
    <row r="46" spans="3:7" s="18" customFormat="1" x14ac:dyDescent="0.25"/>
    <row r="47" spans="3:7" s="18" customFormat="1" x14ac:dyDescent="0.25"/>
    <row r="48" spans="3:7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</sheetData>
  <mergeCells count="5">
    <mergeCell ref="C9:F9"/>
    <mergeCell ref="C8:F8"/>
    <mergeCell ref="C11:F11"/>
    <mergeCell ref="C12:F12"/>
    <mergeCell ref="C25:F25"/>
  </mergeCells>
  <hyperlinks>
    <hyperlink ref="C12" r:id="rId1" xr:uid="{7796BCF2-2F76-4406-A6C5-BC5724E59605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34"/>
  <sheetViews>
    <sheetView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89.140625" style="1" bestFit="1" customWidth="1"/>
    <col min="2" max="16384" width="9.140625" style="1"/>
  </cols>
  <sheetData>
    <row r="1" spans="1:20" s="27" customFormat="1" ht="24" x14ac:dyDescent="0.4">
      <c r="A1" s="22" t="s">
        <v>13</v>
      </c>
    </row>
    <row r="2" spans="1:20" s="23" customFormat="1" x14ac:dyDescent="0.25"/>
    <row r="3" spans="1:20" s="26" customFormat="1" ht="13.5" x14ac:dyDescent="0.25">
      <c r="A3" s="24"/>
      <c r="B3" s="24">
        <v>2000</v>
      </c>
      <c r="C3" s="24">
        <v>2001</v>
      </c>
      <c r="D3" s="24">
        <v>2002</v>
      </c>
      <c r="E3" s="24">
        <v>2003</v>
      </c>
      <c r="F3" s="24">
        <v>2004</v>
      </c>
      <c r="G3" s="24">
        <v>2005</v>
      </c>
      <c r="H3" s="24">
        <v>2006</v>
      </c>
      <c r="I3" s="24">
        <v>2007</v>
      </c>
      <c r="J3" s="24">
        <v>2008</v>
      </c>
      <c r="K3" s="24">
        <v>2009</v>
      </c>
      <c r="L3" s="24">
        <v>2010</v>
      </c>
      <c r="M3" s="24">
        <v>2011</v>
      </c>
      <c r="N3" s="24">
        <v>2012</v>
      </c>
      <c r="O3" s="24">
        <v>2013</v>
      </c>
      <c r="P3" s="24">
        <v>2014</v>
      </c>
      <c r="Q3" s="24">
        <v>2015</v>
      </c>
      <c r="R3" s="24">
        <v>2016</v>
      </c>
      <c r="S3" s="24">
        <v>2017</v>
      </c>
      <c r="T3" s="24">
        <v>2018</v>
      </c>
    </row>
    <row r="4" spans="1:20" s="26" customFormat="1" ht="13.5" x14ac:dyDescent="0.25">
      <c r="A4" s="25" t="s">
        <v>0</v>
      </c>
    </row>
    <row r="5" spans="1:20" s="26" customFormat="1" ht="13.5" x14ac:dyDescent="0.25">
      <c r="A5" s="25" t="s">
        <v>1</v>
      </c>
    </row>
    <row r="6" spans="1:20" s="26" customFormat="1" ht="13.5" x14ac:dyDescent="0.25">
      <c r="A6" s="24" t="s">
        <v>2</v>
      </c>
      <c r="B6" s="28">
        <v>38745</v>
      </c>
      <c r="C6" s="28">
        <v>40815</v>
      </c>
      <c r="D6" s="28">
        <v>44448</v>
      </c>
      <c r="E6" s="28">
        <v>48551</v>
      </c>
      <c r="F6" s="28">
        <v>53838</v>
      </c>
      <c r="G6" s="28">
        <v>59459</v>
      </c>
      <c r="H6" s="28">
        <v>67791</v>
      </c>
      <c r="I6" s="28">
        <v>71394</v>
      </c>
      <c r="J6" s="28">
        <v>65392</v>
      </c>
      <c r="K6" s="28">
        <v>56511</v>
      </c>
      <c r="L6" s="28">
        <v>55386</v>
      </c>
      <c r="M6" s="28">
        <v>57759</v>
      </c>
      <c r="N6" s="28">
        <v>59516</v>
      </c>
      <c r="O6" s="28">
        <v>61517</v>
      </c>
      <c r="P6" s="28">
        <v>66038</v>
      </c>
      <c r="Q6" s="28">
        <v>70884</v>
      </c>
      <c r="R6" s="28">
        <v>73481</v>
      </c>
      <c r="S6" s="28">
        <v>76574</v>
      </c>
      <c r="T6" s="28">
        <v>82337</v>
      </c>
    </row>
    <row r="7" spans="1:20" s="26" customFormat="1" ht="13.5" x14ac:dyDescent="0.25">
      <c r="A7" s="24" t="s">
        <v>3</v>
      </c>
      <c r="B7" s="28">
        <v>33486</v>
      </c>
      <c r="C7" s="28">
        <v>39652</v>
      </c>
      <c r="D7" s="28">
        <v>45163</v>
      </c>
      <c r="E7" s="28">
        <v>48056</v>
      </c>
      <c r="F7" s="28">
        <v>51818</v>
      </c>
      <c r="G7" s="28">
        <v>56795</v>
      </c>
      <c r="H7" s="28">
        <v>62668</v>
      </c>
      <c r="I7" s="28">
        <v>70875</v>
      </c>
      <c r="J7" s="28">
        <v>78569</v>
      </c>
      <c r="K7" s="28">
        <v>80027</v>
      </c>
      <c r="L7" s="28">
        <v>109160</v>
      </c>
      <c r="M7" s="28">
        <v>79696</v>
      </c>
      <c r="N7" s="28">
        <v>73686</v>
      </c>
      <c r="O7" s="28">
        <v>72607</v>
      </c>
      <c r="P7" s="28">
        <v>73145</v>
      </c>
      <c r="Q7" s="28">
        <v>76007</v>
      </c>
      <c r="R7" s="28">
        <v>75361</v>
      </c>
      <c r="S7" s="28">
        <v>77481</v>
      </c>
      <c r="T7" s="28">
        <v>82168</v>
      </c>
    </row>
    <row r="8" spans="1:20" s="26" customFormat="1" ht="13.5" x14ac:dyDescent="0.25">
      <c r="A8" s="24" t="s">
        <v>4</v>
      </c>
      <c r="B8" s="29">
        <v>2107</v>
      </c>
      <c r="C8" s="29">
        <v>1757</v>
      </c>
      <c r="D8" s="29">
        <v>1793</v>
      </c>
      <c r="E8" s="29">
        <v>1775</v>
      </c>
      <c r="F8" s="29">
        <v>1714</v>
      </c>
      <c r="G8" s="29">
        <v>1742</v>
      </c>
      <c r="H8" s="29">
        <v>1850</v>
      </c>
      <c r="I8" s="29">
        <v>1985</v>
      </c>
      <c r="J8" s="29">
        <v>2403</v>
      </c>
      <c r="K8" s="29">
        <v>3416</v>
      </c>
      <c r="L8" s="29">
        <v>4748</v>
      </c>
      <c r="M8" s="29">
        <v>5768</v>
      </c>
      <c r="N8" s="29">
        <v>7298</v>
      </c>
      <c r="O8" s="29">
        <v>7760</v>
      </c>
      <c r="P8" s="29">
        <v>7589</v>
      </c>
      <c r="Q8" s="29">
        <v>6850</v>
      </c>
      <c r="R8" s="29">
        <v>6167</v>
      </c>
      <c r="S8" s="29">
        <v>5838</v>
      </c>
      <c r="T8" s="29">
        <v>5235</v>
      </c>
    </row>
    <row r="9" spans="1:20" s="26" customFormat="1" ht="13.5" x14ac:dyDescent="0.25">
      <c r="A9" s="24" t="s">
        <v>5</v>
      </c>
      <c r="B9" s="28">
        <v>5259</v>
      </c>
      <c r="C9" s="28">
        <v>1163</v>
      </c>
      <c r="D9" s="28">
        <v>-715</v>
      </c>
      <c r="E9" s="28">
        <v>495</v>
      </c>
      <c r="F9" s="28">
        <v>2020</v>
      </c>
      <c r="G9" s="28">
        <v>2665</v>
      </c>
      <c r="H9" s="28">
        <v>5123</v>
      </c>
      <c r="I9" s="28">
        <v>518</v>
      </c>
      <c r="J9" s="28">
        <v>-13178</v>
      </c>
      <c r="K9" s="28">
        <v>-23515</v>
      </c>
      <c r="L9" s="28">
        <v>-53774</v>
      </c>
      <c r="M9" s="28">
        <v>-21936</v>
      </c>
      <c r="N9" s="28">
        <v>-14171</v>
      </c>
      <c r="O9" s="28">
        <v>-11090</v>
      </c>
      <c r="P9" s="28">
        <v>-7107</v>
      </c>
      <c r="Q9" s="28">
        <v>-5123</v>
      </c>
      <c r="R9" s="28">
        <v>-1880</v>
      </c>
      <c r="S9" s="28">
        <v>-907</v>
      </c>
      <c r="T9" s="28">
        <v>168</v>
      </c>
    </row>
    <row r="10" spans="1:20" s="26" customFormat="1" ht="13.5" x14ac:dyDescent="0.25">
      <c r="A10" s="24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s="26" customFormat="1" ht="13.5" x14ac:dyDescent="0.25">
      <c r="A11" s="24" t="s">
        <v>6</v>
      </c>
      <c r="B11" s="30">
        <v>3800</v>
      </c>
      <c r="C11" s="30">
        <v>5152</v>
      </c>
      <c r="D11" s="30">
        <v>5741</v>
      </c>
      <c r="E11" s="30">
        <v>5352</v>
      </c>
      <c r="F11" s="30">
        <v>5506</v>
      </c>
      <c r="G11" s="30">
        <v>6024</v>
      </c>
      <c r="H11" s="30">
        <v>7028</v>
      </c>
      <c r="I11" s="30">
        <v>9206</v>
      </c>
      <c r="J11" s="30">
        <v>9877</v>
      </c>
      <c r="K11" s="30">
        <v>6408</v>
      </c>
      <c r="L11" s="30">
        <v>5692</v>
      </c>
      <c r="M11" s="30">
        <v>4239</v>
      </c>
      <c r="N11" s="30">
        <v>3568</v>
      </c>
      <c r="O11" s="30">
        <v>3613</v>
      </c>
      <c r="P11" s="30">
        <v>4279</v>
      </c>
      <c r="Q11" s="30">
        <v>4680</v>
      </c>
      <c r="R11" s="30">
        <v>5182</v>
      </c>
      <c r="S11" s="30">
        <v>5251</v>
      </c>
      <c r="T11" s="30">
        <v>6332</v>
      </c>
    </row>
    <row r="12" spans="1:20" s="26" customFormat="1" ht="13.5" x14ac:dyDescent="0.25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</row>
    <row r="13" spans="1:20" s="26" customFormat="1" ht="13.5" x14ac:dyDescent="0.25">
      <c r="A13" s="24" t="s">
        <v>7</v>
      </c>
      <c r="B13" s="30">
        <v>39096</v>
      </c>
      <c r="C13" s="30">
        <v>40538</v>
      </c>
      <c r="D13" s="30">
        <v>41538</v>
      </c>
      <c r="E13" s="30">
        <v>43560</v>
      </c>
      <c r="F13" s="30">
        <v>44056</v>
      </c>
      <c r="G13" s="30">
        <v>44379</v>
      </c>
      <c r="H13" s="30">
        <v>43692</v>
      </c>
      <c r="I13" s="30">
        <v>47148</v>
      </c>
      <c r="J13" s="30">
        <v>79621</v>
      </c>
      <c r="K13" s="30">
        <v>104686</v>
      </c>
      <c r="L13" s="30">
        <v>144230</v>
      </c>
      <c r="M13" s="30">
        <v>189727</v>
      </c>
      <c r="N13" s="30">
        <v>210036</v>
      </c>
      <c r="O13" s="30">
        <v>215352</v>
      </c>
      <c r="P13" s="30">
        <v>203378</v>
      </c>
      <c r="Q13" s="30">
        <v>201654</v>
      </c>
      <c r="R13" s="30">
        <v>200709</v>
      </c>
      <c r="S13" s="24">
        <v>201363</v>
      </c>
      <c r="T13" s="24">
        <v>205978</v>
      </c>
    </row>
    <row r="14" spans="1:20" s="26" customFormat="1" ht="13.5" x14ac:dyDescent="0.25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s="26" customFormat="1" ht="13.5" x14ac:dyDescent="0.25">
      <c r="A15" s="24" t="s">
        <v>8</v>
      </c>
      <c r="B15" s="31">
        <v>108380</v>
      </c>
      <c r="C15" s="31">
        <v>121959</v>
      </c>
      <c r="D15" s="31">
        <v>135960</v>
      </c>
      <c r="E15" s="31">
        <v>145556</v>
      </c>
      <c r="F15" s="31">
        <v>156143</v>
      </c>
      <c r="G15" s="31">
        <v>170187</v>
      </c>
      <c r="H15" s="31">
        <v>184994</v>
      </c>
      <c r="I15" s="31">
        <v>197202</v>
      </c>
      <c r="J15" s="31">
        <v>187769</v>
      </c>
      <c r="K15" s="31">
        <v>170101</v>
      </c>
      <c r="L15" s="31">
        <v>167732</v>
      </c>
      <c r="M15" s="31">
        <v>170827</v>
      </c>
      <c r="N15" s="31">
        <v>175116</v>
      </c>
      <c r="O15" s="31">
        <v>179661</v>
      </c>
      <c r="P15" s="31">
        <v>194818</v>
      </c>
      <c r="Q15" s="31">
        <v>262833</v>
      </c>
      <c r="R15" s="31">
        <v>271684</v>
      </c>
      <c r="S15" s="31">
        <v>297131</v>
      </c>
      <c r="T15" s="31">
        <v>324038</v>
      </c>
    </row>
    <row r="16" spans="1:20" s="26" customFormat="1" ht="13.5" x14ac:dyDescent="0.25">
      <c r="A16" s="26" t="s">
        <v>9</v>
      </c>
      <c r="B16" s="31">
        <v>94108</v>
      </c>
      <c r="C16" s="31">
        <v>103496</v>
      </c>
      <c r="D16" s="31">
        <v>112787</v>
      </c>
      <c r="E16" s="31">
        <v>123714</v>
      </c>
      <c r="F16" s="31">
        <v>132446</v>
      </c>
      <c r="G16" s="31">
        <v>144016</v>
      </c>
      <c r="H16" s="31">
        <v>157896</v>
      </c>
      <c r="I16" s="31">
        <v>165560</v>
      </c>
      <c r="J16" s="31">
        <v>156906</v>
      </c>
      <c r="K16" s="31">
        <v>134841</v>
      </c>
      <c r="L16" s="31">
        <v>128960</v>
      </c>
      <c r="M16" s="31">
        <v>126358</v>
      </c>
      <c r="N16" s="31">
        <v>126498</v>
      </c>
      <c r="O16" s="31">
        <v>136959</v>
      </c>
      <c r="P16" s="31">
        <v>148738</v>
      </c>
      <c r="Q16" s="31">
        <v>162656</v>
      </c>
      <c r="R16" s="31">
        <v>175631</v>
      </c>
      <c r="S16" s="31">
        <v>183955</v>
      </c>
      <c r="T16" s="31">
        <v>197460</v>
      </c>
    </row>
    <row r="17" spans="1:23" s="26" customFormat="1" ht="13.5" x14ac:dyDescent="0.25">
      <c r="A17" s="24" t="s">
        <v>10</v>
      </c>
      <c r="B17" s="31">
        <v>144545</v>
      </c>
      <c r="C17" s="31">
        <v>152175</v>
      </c>
      <c r="D17" s="31">
        <v>161184</v>
      </c>
      <c r="E17" s="31">
        <v>166051</v>
      </c>
      <c r="F17" s="31">
        <v>177212</v>
      </c>
      <c r="G17" s="31">
        <v>187314</v>
      </c>
      <c r="H17" s="31">
        <v>196812</v>
      </c>
      <c r="I17" s="31">
        <v>207291</v>
      </c>
      <c r="J17" s="31">
        <v>198003</v>
      </c>
      <c r="K17" s="31">
        <v>187946</v>
      </c>
      <c r="L17" s="31">
        <v>191348</v>
      </c>
      <c r="M17" s="31">
        <v>192005</v>
      </c>
      <c r="N17" s="31">
        <v>192439</v>
      </c>
      <c r="O17" s="31">
        <v>195040</v>
      </c>
      <c r="P17" s="31">
        <v>211729</v>
      </c>
      <c r="Q17" s="31">
        <v>265005</v>
      </c>
      <c r="R17" s="31">
        <v>274752</v>
      </c>
      <c r="S17" s="31">
        <v>297131</v>
      </c>
      <c r="T17" s="31">
        <v>321406</v>
      </c>
    </row>
    <row r="18" spans="1:23" s="26" customFormat="1" ht="13.5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</row>
    <row r="19" spans="1:23" s="26" customFormat="1" ht="13.5" x14ac:dyDescent="0.25"/>
    <row r="20" spans="1:23" s="26" customFormat="1" ht="13.5" x14ac:dyDescent="0.25">
      <c r="A20" s="26" t="s">
        <v>11</v>
      </c>
      <c r="B20" s="29">
        <v>83.224999999999909</v>
      </c>
      <c r="C20" s="29">
        <v>79.550000000000182</v>
      </c>
      <c r="D20" s="29">
        <v>91.474999999999909</v>
      </c>
      <c r="E20" s="29">
        <v>95.775000000000318</v>
      </c>
      <c r="F20" s="29">
        <v>96.575000000000045</v>
      </c>
      <c r="G20" s="29">
        <v>98.874999999999773</v>
      </c>
      <c r="H20" s="29">
        <v>106.32500000000027</v>
      </c>
      <c r="I20" s="29">
        <v>116.45000000000027</v>
      </c>
      <c r="J20" s="29">
        <v>159.80000000000018</v>
      </c>
      <c r="K20" s="29">
        <v>290.77500000000009</v>
      </c>
      <c r="L20" s="29">
        <v>327.42499999999995</v>
      </c>
      <c r="M20" s="29">
        <v>342.50000000000045</v>
      </c>
      <c r="N20" s="29">
        <v>343.65000000000032</v>
      </c>
      <c r="O20" s="29">
        <v>308.75</v>
      </c>
      <c r="P20" s="29">
        <v>267.52499999999986</v>
      </c>
      <c r="Q20" s="29">
        <v>226.15000000000009</v>
      </c>
      <c r="R20" s="29">
        <v>194.77499999999964</v>
      </c>
      <c r="S20" s="29">
        <v>157.875</v>
      </c>
      <c r="T20" s="29">
        <v>137</v>
      </c>
    </row>
    <row r="21" spans="1:23" s="26" customFormat="1" ht="13.5" x14ac:dyDescent="0.25">
      <c r="A21" s="26" t="s">
        <v>12</v>
      </c>
      <c r="B21" s="32">
        <v>4.4825171057593884</v>
      </c>
      <c r="C21" s="32">
        <v>4.1821097179507394</v>
      </c>
      <c r="D21" s="32">
        <v>4.7119272671079404</v>
      </c>
      <c r="E21" s="32">
        <v>4.8338864143944074</v>
      </c>
      <c r="F21" s="32">
        <v>4.7267699385752389</v>
      </c>
      <c r="G21" s="32">
        <v>4.626347011127101</v>
      </c>
      <c r="H21" s="32">
        <v>4.7540268944009121</v>
      </c>
      <c r="I21" s="32">
        <v>4.9801095046625026</v>
      </c>
      <c r="J21" s="32">
        <v>6.7746311683907061</v>
      </c>
      <c r="K21" s="32">
        <v>12.608822923555621</v>
      </c>
      <c r="L21" s="32">
        <v>14.532845095428318</v>
      </c>
      <c r="M21" s="32">
        <v>15.352032183238268</v>
      </c>
      <c r="N21" s="32">
        <v>15.451193741288611</v>
      </c>
      <c r="O21" s="32">
        <v>13.733542563965589</v>
      </c>
      <c r="P21" s="32">
        <v>11.856669584390547</v>
      </c>
      <c r="Q21" s="32">
        <v>9.90661572315339</v>
      </c>
      <c r="R21" s="32">
        <v>8.3740667132191007</v>
      </c>
      <c r="S21" s="32">
        <v>6.7113095238095237</v>
      </c>
      <c r="T21" s="32">
        <v>5.7410674210081316</v>
      </c>
    </row>
    <row r="22" spans="1:23" s="26" customFormat="1" ht="13.5" x14ac:dyDescent="0.25">
      <c r="A22" s="26" t="s">
        <v>172</v>
      </c>
      <c r="B22" s="32">
        <v>1393.2</v>
      </c>
      <c r="C22" s="32">
        <v>1571.2</v>
      </c>
      <c r="D22" s="32">
        <v>1686.3</v>
      </c>
      <c r="E22" s="32">
        <v>1775.1</v>
      </c>
      <c r="F22" s="32">
        <v>1907.7</v>
      </c>
      <c r="G22" s="32">
        <v>2402.1999999999998</v>
      </c>
      <c r="H22" s="32">
        <v>2651.5</v>
      </c>
      <c r="I22" s="32">
        <v>3002.6</v>
      </c>
      <c r="J22" s="32">
        <v>3407.4</v>
      </c>
      <c r="K22" s="32">
        <v>3827</v>
      </c>
      <c r="L22" s="32">
        <v>3765.2</v>
      </c>
      <c r="M22" s="32">
        <v>5101.8</v>
      </c>
      <c r="N22" s="32">
        <v>5119</v>
      </c>
      <c r="O22" s="32">
        <v>4835.7</v>
      </c>
      <c r="P22" s="32">
        <v>4424.8</v>
      </c>
      <c r="Q22" s="32">
        <v>4120</v>
      </c>
      <c r="R22" s="32">
        <v>3686.6</v>
      </c>
      <c r="S22" s="32">
        <v>3210.4</v>
      </c>
      <c r="T22" s="32"/>
      <c r="U22" s="32"/>
      <c r="V22" s="32"/>
      <c r="W22" s="32"/>
    </row>
    <row r="23" spans="1:23" s="22" customFormat="1" ht="24" x14ac:dyDescent="0.4"/>
    <row r="24" spans="1:23" s="22" customFormat="1" ht="24" x14ac:dyDescent="0.4"/>
    <row r="25" spans="1:23" s="21" customFormat="1" x14ac:dyDescent="0.25"/>
    <row r="26" spans="1:23" s="21" customFormat="1" x14ac:dyDescent="0.25"/>
    <row r="27" spans="1:23" s="21" customFormat="1" x14ac:dyDescent="0.25"/>
    <row r="28" spans="1:23" s="21" customFormat="1" x14ac:dyDescent="0.25"/>
    <row r="29" spans="1:23" s="21" customFormat="1" x14ac:dyDescent="0.25"/>
    <row r="30" spans="1:23" s="21" customFormat="1" x14ac:dyDescent="0.25"/>
    <row r="31" spans="1:23" s="21" customFormat="1" x14ac:dyDescent="0.25"/>
    <row r="32" spans="1:23" s="21" customFormat="1" x14ac:dyDescent="0.25"/>
    <row r="33" s="21" customFormat="1" x14ac:dyDescent="0.25"/>
    <row r="34" s="21" customFormat="1" x14ac:dyDescent="0.25"/>
    <row r="35" s="21" customFormat="1" x14ac:dyDescent="0.25"/>
    <row r="36" s="21" customFormat="1" x14ac:dyDescent="0.25"/>
    <row r="37" s="21" customFormat="1" x14ac:dyDescent="0.25"/>
    <row r="38" s="21" customFormat="1" x14ac:dyDescent="0.25"/>
    <row r="39" s="21" customFormat="1" x14ac:dyDescent="0.25"/>
    <row r="40" s="21" customFormat="1" x14ac:dyDescent="0.25"/>
    <row r="41" s="21" customFormat="1" x14ac:dyDescent="0.25"/>
    <row r="42" s="21" customFormat="1" x14ac:dyDescent="0.25"/>
    <row r="43" s="21" customFormat="1" x14ac:dyDescent="0.25"/>
    <row r="44" s="21" customFormat="1" x14ac:dyDescent="0.25"/>
    <row r="45" s="21" customFormat="1" x14ac:dyDescent="0.25"/>
    <row r="46" s="21" customFormat="1" x14ac:dyDescent="0.25"/>
    <row r="47" s="21" customFormat="1" x14ac:dyDescent="0.25"/>
    <row r="48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  <row r="68" s="21" customFormat="1" x14ac:dyDescent="0.25"/>
    <row r="69" s="21" customFormat="1" x14ac:dyDescent="0.25"/>
    <row r="70" s="21" customFormat="1" x14ac:dyDescent="0.25"/>
    <row r="71" s="21" customFormat="1" x14ac:dyDescent="0.25"/>
    <row r="72" s="21" customFormat="1" x14ac:dyDescent="0.25"/>
    <row r="73" s="21" customFormat="1" x14ac:dyDescent="0.25"/>
    <row r="74" s="21" customFormat="1" x14ac:dyDescent="0.25"/>
    <row r="75" s="21" customFormat="1" x14ac:dyDescent="0.25"/>
    <row r="76" s="21" customFormat="1" x14ac:dyDescent="0.25"/>
    <row r="77" s="21" customFormat="1" x14ac:dyDescent="0.25"/>
    <row r="78" s="21" customFormat="1" x14ac:dyDescent="0.25"/>
    <row r="79" s="21" customFormat="1" x14ac:dyDescent="0.25"/>
    <row r="80" s="21" customFormat="1" x14ac:dyDescent="0.25"/>
    <row r="81" s="21" customFormat="1" x14ac:dyDescent="0.25"/>
    <row r="82" s="21" customFormat="1" x14ac:dyDescent="0.25"/>
    <row r="83" s="21" customFormat="1" x14ac:dyDescent="0.25"/>
    <row r="84" s="21" customFormat="1" x14ac:dyDescent="0.25"/>
    <row r="85" s="21" customFormat="1" x14ac:dyDescent="0.25"/>
    <row r="86" s="21" customFormat="1" x14ac:dyDescent="0.25"/>
    <row r="87" s="21" customFormat="1" x14ac:dyDescent="0.25"/>
    <row r="88" s="21" customFormat="1" x14ac:dyDescent="0.25"/>
    <row r="89" s="21" customFormat="1" x14ac:dyDescent="0.25"/>
    <row r="90" s="21" customFormat="1" x14ac:dyDescent="0.25"/>
    <row r="91" s="21" customFormat="1" x14ac:dyDescent="0.25"/>
    <row r="92" s="21" customFormat="1" x14ac:dyDescent="0.25"/>
    <row r="93" s="21" customFormat="1" x14ac:dyDescent="0.25"/>
    <row r="94" s="21" customFormat="1" x14ac:dyDescent="0.25"/>
    <row r="95" s="21" customFormat="1" x14ac:dyDescent="0.25"/>
    <row r="96" s="21" customFormat="1" x14ac:dyDescent="0.25"/>
    <row r="97" s="21" customFormat="1" x14ac:dyDescent="0.25"/>
    <row r="98" s="21" customFormat="1" x14ac:dyDescent="0.25"/>
    <row r="99" s="21" customFormat="1" x14ac:dyDescent="0.25"/>
    <row r="100" s="21" customFormat="1" x14ac:dyDescent="0.25"/>
    <row r="101" s="21" customFormat="1" x14ac:dyDescent="0.25"/>
    <row r="102" s="21" customFormat="1" x14ac:dyDescent="0.25"/>
    <row r="103" s="21" customFormat="1" x14ac:dyDescent="0.25"/>
    <row r="104" s="21" customFormat="1" x14ac:dyDescent="0.25"/>
    <row r="105" s="21" customFormat="1" x14ac:dyDescent="0.25"/>
    <row r="106" s="21" customFormat="1" x14ac:dyDescent="0.25"/>
    <row r="107" s="21" customFormat="1" x14ac:dyDescent="0.25"/>
    <row r="108" s="21" customFormat="1" x14ac:dyDescent="0.25"/>
    <row r="109" s="21" customFormat="1" x14ac:dyDescent="0.25"/>
    <row r="110" s="21" customFormat="1" x14ac:dyDescent="0.25"/>
    <row r="111" s="21" customFormat="1" x14ac:dyDescent="0.25"/>
    <row r="112" s="21" customFormat="1" x14ac:dyDescent="0.25"/>
    <row r="113" s="21" customFormat="1" x14ac:dyDescent="0.25"/>
    <row r="114" s="21" customFormat="1" x14ac:dyDescent="0.25"/>
    <row r="115" s="21" customFormat="1" x14ac:dyDescent="0.25"/>
    <row r="116" s="21" customFormat="1" x14ac:dyDescent="0.25"/>
    <row r="117" s="21" customFormat="1" x14ac:dyDescent="0.25"/>
    <row r="118" s="21" customFormat="1" x14ac:dyDescent="0.25"/>
    <row r="119" s="21" customFormat="1" x14ac:dyDescent="0.25"/>
    <row r="120" s="21" customFormat="1" x14ac:dyDescent="0.25"/>
    <row r="121" s="21" customFormat="1" x14ac:dyDescent="0.25"/>
    <row r="122" s="21" customFormat="1" x14ac:dyDescent="0.25"/>
    <row r="123" s="21" customFormat="1" x14ac:dyDescent="0.25"/>
    <row r="124" s="21" customFormat="1" x14ac:dyDescent="0.25"/>
    <row r="125" s="21" customFormat="1" x14ac:dyDescent="0.25"/>
    <row r="126" s="21" customFormat="1" x14ac:dyDescent="0.25"/>
    <row r="127" s="21" customFormat="1" x14ac:dyDescent="0.25"/>
    <row r="128" s="21" customFormat="1" x14ac:dyDescent="0.25"/>
    <row r="129" s="21" customFormat="1" x14ac:dyDescent="0.25"/>
    <row r="130" s="21" customFormat="1" x14ac:dyDescent="0.25"/>
    <row r="131" s="21" customFormat="1" x14ac:dyDescent="0.25"/>
    <row r="132" s="21" customFormat="1" x14ac:dyDescent="0.25"/>
    <row r="133" s="21" customFormat="1" x14ac:dyDescent="0.25"/>
    <row r="134" s="21" customFormat="1" x14ac:dyDescent="0.25"/>
    <row r="135" s="21" customFormat="1" x14ac:dyDescent="0.25"/>
    <row r="136" s="21" customFormat="1" x14ac:dyDescent="0.25"/>
    <row r="137" s="21" customFormat="1" x14ac:dyDescent="0.25"/>
    <row r="138" s="21" customFormat="1" x14ac:dyDescent="0.25"/>
    <row r="139" s="21" customFormat="1" x14ac:dyDescent="0.25"/>
    <row r="140" s="21" customFormat="1" x14ac:dyDescent="0.25"/>
    <row r="141" s="21" customFormat="1" x14ac:dyDescent="0.25"/>
    <row r="142" s="21" customFormat="1" x14ac:dyDescent="0.25"/>
    <row r="143" s="21" customFormat="1" x14ac:dyDescent="0.25"/>
    <row r="144" s="21" customFormat="1" x14ac:dyDescent="0.25"/>
    <row r="145" s="21" customFormat="1" x14ac:dyDescent="0.25"/>
    <row r="146" s="21" customFormat="1" x14ac:dyDescent="0.25"/>
    <row r="147" s="21" customFormat="1" x14ac:dyDescent="0.25"/>
    <row r="148" s="21" customFormat="1" x14ac:dyDescent="0.25"/>
    <row r="149" s="21" customFormat="1" x14ac:dyDescent="0.25"/>
    <row r="150" s="21" customFormat="1" x14ac:dyDescent="0.25"/>
    <row r="151" s="21" customFormat="1" x14ac:dyDescent="0.25"/>
    <row r="152" s="21" customFormat="1" x14ac:dyDescent="0.25"/>
    <row r="153" s="21" customFormat="1" x14ac:dyDescent="0.25"/>
    <row r="154" s="21" customFormat="1" x14ac:dyDescent="0.25"/>
    <row r="155" s="21" customFormat="1" x14ac:dyDescent="0.25"/>
    <row r="156" s="21" customFormat="1" x14ac:dyDescent="0.25"/>
    <row r="157" s="21" customFormat="1" x14ac:dyDescent="0.25"/>
    <row r="158" s="21" customFormat="1" x14ac:dyDescent="0.25"/>
    <row r="159" s="21" customFormat="1" x14ac:dyDescent="0.25"/>
    <row r="160" s="21" customFormat="1" x14ac:dyDescent="0.25"/>
    <row r="161" s="21" customFormat="1" x14ac:dyDescent="0.25"/>
    <row r="162" s="21" customFormat="1" x14ac:dyDescent="0.25"/>
    <row r="163" s="21" customFormat="1" x14ac:dyDescent="0.25"/>
    <row r="164" s="21" customFormat="1" x14ac:dyDescent="0.25"/>
    <row r="165" s="21" customFormat="1" x14ac:dyDescent="0.25"/>
    <row r="166" s="21" customFormat="1" x14ac:dyDescent="0.25"/>
    <row r="167" s="21" customFormat="1" x14ac:dyDescent="0.25"/>
    <row r="168" s="21" customFormat="1" x14ac:dyDescent="0.25"/>
    <row r="169" s="21" customFormat="1" x14ac:dyDescent="0.25"/>
    <row r="170" s="21" customFormat="1" x14ac:dyDescent="0.25"/>
    <row r="171" s="21" customFormat="1" x14ac:dyDescent="0.25"/>
    <row r="172" s="21" customFormat="1" x14ac:dyDescent="0.25"/>
    <row r="173" s="21" customFormat="1" x14ac:dyDescent="0.25"/>
    <row r="174" s="21" customFormat="1" x14ac:dyDescent="0.25"/>
    <row r="175" s="21" customFormat="1" x14ac:dyDescent="0.25"/>
    <row r="176" s="21" customFormat="1" x14ac:dyDescent="0.25"/>
    <row r="177" s="21" customFormat="1" x14ac:dyDescent="0.25"/>
    <row r="178" s="21" customFormat="1" x14ac:dyDescent="0.25"/>
    <row r="179" s="21" customFormat="1" x14ac:dyDescent="0.25"/>
    <row r="180" s="21" customFormat="1" x14ac:dyDescent="0.25"/>
    <row r="181" s="21" customFormat="1" x14ac:dyDescent="0.25"/>
    <row r="182" s="21" customFormat="1" x14ac:dyDescent="0.25"/>
    <row r="183" s="21" customFormat="1" x14ac:dyDescent="0.25"/>
    <row r="184" s="21" customFormat="1" x14ac:dyDescent="0.25"/>
    <row r="185" s="21" customFormat="1" x14ac:dyDescent="0.25"/>
    <row r="186" s="21" customFormat="1" x14ac:dyDescent="0.25"/>
    <row r="187" s="21" customFormat="1" x14ac:dyDescent="0.25"/>
    <row r="188" s="21" customFormat="1" x14ac:dyDescent="0.25"/>
    <row r="189" s="21" customFormat="1" x14ac:dyDescent="0.25"/>
    <row r="190" s="21" customFormat="1" x14ac:dyDescent="0.25"/>
    <row r="191" s="21" customFormat="1" x14ac:dyDescent="0.25"/>
    <row r="192" s="21" customFormat="1" x14ac:dyDescent="0.25"/>
    <row r="193" s="21" customFormat="1" x14ac:dyDescent="0.25"/>
    <row r="194" s="21" customFormat="1" x14ac:dyDescent="0.25"/>
    <row r="195" s="21" customFormat="1" x14ac:dyDescent="0.25"/>
    <row r="196" s="21" customFormat="1" x14ac:dyDescent="0.25"/>
    <row r="197" s="21" customFormat="1" x14ac:dyDescent="0.25"/>
    <row r="198" s="21" customFormat="1" x14ac:dyDescent="0.25"/>
    <row r="199" s="21" customFormat="1" x14ac:dyDescent="0.25"/>
    <row r="200" s="21" customFormat="1" x14ac:dyDescent="0.25"/>
    <row r="201" s="21" customFormat="1" x14ac:dyDescent="0.25"/>
    <row r="202" s="21" customFormat="1" x14ac:dyDescent="0.25"/>
    <row r="203" s="21" customFormat="1" x14ac:dyDescent="0.25"/>
    <row r="204" s="21" customFormat="1" x14ac:dyDescent="0.25"/>
    <row r="205" s="21" customFormat="1" x14ac:dyDescent="0.25"/>
    <row r="206" s="21" customFormat="1" x14ac:dyDescent="0.25"/>
    <row r="207" s="21" customFormat="1" x14ac:dyDescent="0.25"/>
    <row r="208" s="21" customFormat="1" x14ac:dyDescent="0.25"/>
    <row r="209" s="21" customFormat="1" x14ac:dyDescent="0.25"/>
    <row r="210" s="21" customFormat="1" x14ac:dyDescent="0.25"/>
    <row r="211" s="21" customFormat="1" x14ac:dyDescent="0.25"/>
    <row r="212" s="21" customFormat="1" x14ac:dyDescent="0.25"/>
    <row r="213" s="21" customFormat="1" x14ac:dyDescent="0.25"/>
    <row r="214" s="21" customFormat="1" x14ac:dyDescent="0.25"/>
    <row r="215" s="21" customFormat="1" x14ac:dyDescent="0.25"/>
    <row r="216" s="21" customFormat="1" x14ac:dyDescent="0.25"/>
    <row r="217" s="21" customFormat="1" x14ac:dyDescent="0.25"/>
    <row r="218" s="21" customFormat="1" x14ac:dyDescent="0.25"/>
    <row r="219" s="21" customFormat="1" x14ac:dyDescent="0.25"/>
    <row r="220" s="21" customFormat="1" x14ac:dyDescent="0.25"/>
    <row r="221" s="21" customFormat="1" x14ac:dyDescent="0.25"/>
    <row r="222" s="21" customFormat="1" x14ac:dyDescent="0.25"/>
    <row r="223" s="21" customFormat="1" x14ac:dyDescent="0.25"/>
    <row r="224" s="21" customFormat="1" x14ac:dyDescent="0.25"/>
    <row r="225" s="21" customFormat="1" x14ac:dyDescent="0.25"/>
    <row r="226" s="21" customFormat="1" x14ac:dyDescent="0.25"/>
    <row r="227" s="21" customFormat="1" x14ac:dyDescent="0.25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85"/>
  <sheetViews>
    <sheetView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P29" sqref="P29"/>
    </sheetView>
  </sheetViews>
  <sheetFormatPr defaultRowHeight="15" x14ac:dyDescent="0.25"/>
  <cols>
    <col min="1" max="1" width="46.85546875" style="44" bestFit="1" customWidth="1"/>
    <col min="2" max="2" width="9.140625" style="23"/>
    <col min="3" max="3" width="9.5703125" style="23" bestFit="1" customWidth="1"/>
    <col min="4" max="13" width="9.140625" style="23"/>
    <col min="14" max="16" width="9.5703125" style="23" bestFit="1" customWidth="1"/>
    <col min="17" max="19" width="9.140625" style="23"/>
    <col min="20" max="20" width="9" style="23" bestFit="1" customWidth="1"/>
    <col min="21" max="26" width="9.5703125" style="23" bestFit="1" customWidth="1"/>
    <col min="27" max="16384" width="9.140625" style="23"/>
  </cols>
  <sheetData>
    <row r="1" spans="1:26" s="27" customFormat="1" ht="24" x14ac:dyDescent="0.4">
      <c r="A1" s="22" t="s">
        <v>14</v>
      </c>
    </row>
    <row r="3" spans="1:26" s="35" customFormat="1" ht="13.5" x14ac:dyDescent="0.25">
      <c r="A3" s="33" t="s">
        <v>33</v>
      </c>
      <c r="B3" s="34">
        <v>2000</v>
      </c>
      <c r="C3" s="34">
        <v>2001</v>
      </c>
      <c r="D3" s="34">
        <v>2002</v>
      </c>
      <c r="E3" s="34">
        <v>2003</v>
      </c>
      <c r="F3" s="34">
        <v>2004</v>
      </c>
      <c r="G3" s="34">
        <v>2005</v>
      </c>
      <c r="H3" s="34">
        <v>2006</v>
      </c>
      <c r="I3" s="34">
        <v>2007</v>
      </c>
      <c r="J3" s="34">
        <v>2008</v>
      </c>
      <c r="K3" s="34">
        <v>2009</v>
      </c>
      <c r="L3" s="34">
        <v>2010</v>
      </c>
      <c r="M3" s="34">
        <v>2011</v>
      </c>
      <c r="N3" s="34">
        <v>2012</v>
      </c>
      <c r="O3" s="34">
        <v>2013</v>
      </c>
      <c r="P3" s="34">
        <v>2014</v>
      </c>
      <c r="Q3" s="34">
        <v>2015</v>
      </c>
      <c r="R3" s="34">
        <v>2016</v>
      </c>
      <c r="S3" s="34">
        <v>2017</v>
      </c>
      <c r="T3" s="34">
        <v>2018</v>
      </c>
      <c r="U3" s="34">
        <v>2019</v>
      </c>
      <c r="V3" s="34">
        <v>2020</v>
      </c>
      <c r="W3" s="34">
        <v>2021</v>
      </c>
      <c r="X3" s="34">
        <v>2022</v>
      </c>
      <c r="Y3" s="34">
        <v>2023</v>
      </c>
      <c r="Z3" s="34">
        <v>2024</v>
      </c>
    </row>
    <row r="4" spans="1:26" s="33" customFormat="1" ht="13.5" x14ac:dyDescent="0.25">
      <c r="A4" s="36" t="s">
        <v>11</v>
      </c>
      <c r="B4" s="36">
        <f>'Historical Data'!B20</f>
        <v>83.224999999999909</v>
      </c>
      <c r="C4" s="36">
        <f>'Historical Data'!C20</f>
        <v>79.550000000000182</v>
      </c>
      <c r="D4" s="36">
        <f>'Historical Data'!D20</f>
        <v>91.474999999999909</v>
      </c>
      <c r="E4" s="36">
        <f>'Historical Data'!E20</f>
        <v>95.775000000000318</v>
      </c>
      <c r="F4" s="36">
        <f>'Historical Data'!F20</f>
        <v>96.575000000000045</v>
      </c>
      <c r="G4" s="36">
        <f>'Historical Data'!G20</f>
        <v>98.874999999999773</v>
      </c>
      <c r="H4" s="36">
        <f>'Historical Data'!H20</f>
        <v>106.32500000000027</v>
      </c>
      <c r="I4" s="36">
        <f>'Historical Data'!I20</f>
        <v>116.45000000000027</v>
      </c>
      <c r="J4" s="36">
        <f>'Historical Data'!J20</f>
        <v>159.80000000000018</v>
      </c>
      <c r="K4" s="36">
        <f>'Historical Data'!K20</f>
        <v>290.77500000000009</v>
      </c>
      <c r="L4" s="36">
        <f>'Historical Data'!L20</f>
        <v>327.42499999999995</v>
      </c>
      <c r="M4" s="36">
        <f>'Historical Data'!M20</f>
        <v>342.50000000000045</v>
      </c>
      <c r="N4" s="36">
        <f>'Historical Data'!N20</f>
        <v>343.65000000000032</v>
      </c>
      <c r="O4" s="36">
        <f>'Historical Data'!O20</f>
        <v>308.75</v>
      </c>
      <c r="P4" s="36">
        <f>'Historical Data'!P20</f>
        <v>267.52499999999986</v>
      </c>
      <c r="Q4" s="36">
        <f>'Historical Data'!Q20</f>
        <v>226.15000000000009</v>
      </c>
      <c r="R4" s="36">
        <f>'Historical Data'!R20</f>
        <v>194.77499999999964</v>
      </c>
      <c r="S4" s="36">
        <f>'Historical Data'!S20</f>
        <v>157.875</v>
      </c>
      <c r="T4" s="36">
        <f>'Historical Data'!T20</f>
        <v>137</v>
      </c>
      <c r="U4" s="36">
        <v>125</v>
      </c>
      <c r="V4" s="36">
        <v>140</v>
      </c>
      <c r="W4" s="36">
        <v>147</v>
      </c>
      <c r="X4" s="36">
        <v>149</v>
      </c>
      <c r="Y4" s="36">
        <v>147</v>
      </c>
      <c r="Z4" s="36">
        <v>142</v>
      </c>
    </row>
    <row r="5" spans="1:26" s="26" customFormat="1" ht="13.5" x14ac:dyDescent="0.25">
      <c r="A5" s="37" t="s">
        <v>15</v>
      </c>
      <c r="B5" s="31">
        <f>'Historical Data'!B21</f>
        <v>4.4825171057593884</v>
      </c>
      <c r="C5" s="31">
        <f>'Historical Data'!C21</f>
        <v>4.1821097179507394</v>
      </c>
      <c r="D5" s="31">
        <f>'Historical Data'!D21</f>
        <v>4.7119272671079404</v>
      </c>
      <c r="E5" s="31">
        <f>'Historical Data'!E21</f>
        <v>4.8338864143944074</v>
      </c>
      <c r="F5" s="31">
        <f>'Historical Data'!F21</f>
        <v>4.7267699385752389</v>
      </c>
      <c r="G5" s="31">
        <f>'Historical Data'!G21</f>
        <v>4.626347011127101</v>
      </c>
      <c r="H5" s="31">
        <f>'Historical Data'!H21</f>
        <v>4.7540268944009121</v>
      </c>
      <c r="I5" s="31">
        <f>'Historical Data'!I21</f>
        <v>4.9801095046625026</v>
      </c>
      <c r="J5" s="31">
        <f>'Historical Data'!J21</f>
        <v>6.7746311683907061</v>
      </c>
      <c r="K5" s="31">
        <f>'Historical Data'!K21</f>
        <v>12.608822923555621</v>
      </c>
      <c r="L5" s="31">
        <f>'Historical Data'!L21</f>
        <v>14.532845095428318</v>
      </c>
      <c r="M5" s="31">
        <f>'Historical Data'!M21</f>
        <v>15.352032183238268</v>
      </c>
      <c r="N5" s="31">
        <f>'Historical Data'!N21</f>
        <v>15.451193741288611</v>
      </c>
      <c r="O5" s="31">
        <f>'Historical Data'!O21</f>
        <v>13.733542563965589</v>
      </c>
      <c r="P5" s="31">
        <f>'Historical Data'!P21</f>
        <v>11.856669584390547</v>
      </c>
      <c r="Q5" s="31">
        <f>'Historical Data'!Q21</f>
        <v>9.90661572315339</v>
      </c>
      <c r="R5" s="31">
        <f>'Historical Data'!R21</f>
        <v>8.3740667132191007</v>
      </c>
      <c r="S5" s="31">
        <f>'Historical Data'!S21</f>
        <v>6.7113095238095237</v>
      </c>
      <c r="T5" s="31">
        <f>'Historical Data'!T21</f>
        <v>5.7410674210081316</v>
      </c>
      <c r="U5" s="26">
        <v>5.1606635345380019</v>
      </c>
      <c r="V5" s="26">
        <v>5.6867108111095392</v>
      </c>
      <c r="W5" s="26">
        <v>5.9218978985239126</v>
      </c>
      <c r="X5" s="26">
        <v>5.8912905514657092</v>
      </c>
      <c r="Y5" s="26">
        <v>5.7453702766070993</v>
      </c>
      <c r="Z5" s="26">
        <v>5.4567465983808727</v>
      </c>
    </row>
    <row r="6" spans="1:26" s="26" customFormat="1" ht="13.5" x14ac:dyDescent="0.25">
      <c r="A6" s="37" t="s">
        <v>16</v>
      </c>
      <c r="B6" s="38"/>
      <c r="C6" s="38">
        <f>(C7/B7-1)*100</f>
        <v>5.2786329516759434</v>
      </c>
      <c r="D6" s="38">
        <f t="shared" ref="D6:T6" si="0">(D7/C7-1)*100</f>
        <v>5.9201577131591909</v>
      </c>
      <c r="E6" s="38">
        <f t="shared" si="0"/>
        <v>3.0195304744887741</v>
      </c>
      <c r="F6" s="38">
        <f t="shared" si="0"/>
        <v>6.7214289585729725</v>
      </c>
      <c r="G6" s="38">
        <f t="shared" si="0"/>
        <v>5.7005168950184038</v>
      </c>
      <c r="H6" s="38">
        <f t="shared" si="0"/>
        <v>5.0706300650245062</v>
      </c>
      <c r="I6" s="38">
        <f t="shared" si="0"/>
        <v>5.3243704652155444</v>
      </c>
      <c r="J6" s="38">
        <f t="shared" si="0"/>
        <v>-4.4806576262355851</v>
      </c>
      <c r="K6" s="38">
        <f t="shared" si="0"/>
        <v>-5.0792159714751817</v>
      </c>
      <c r="L6" s="38">
        <f t="shared" si="0"/>
        <v>1.8100943888138099</v>
      </c>
      <c r="M6" s="38">
        <f t="shared" si="0"/>
        <v>0.3433534711624997</v>
      </c>
      <c r="N6" s="38">
        <f t="shared" si="0"/>
        <v>0.22603578031821225</v>
      </c>
      <c r="O6" s="38">
        <f t="shared" si="0"/>
        <v>1.3515971294799867</v>
      </c>
      <c r="P6" s="38">
        <f t="shared" si="0"/>
        <v>8.5567063166529955</v>
      </c>
      <c r="Q6" s="38">
        <f t="shared" si="0"/>
        <v>25.162353763537347</v>
      </c>
      <c r="R6" s="38">
        <f t="shared" si="0"/>
        <v>3.6780438104941471</v>
      </c>
      <c r="S6" s="38">
        <f t="shared" si="0"/>
        <v>8.1451636384812574</v>
      </c>
      <c r="T6" s="38">
        <f t="shared" si="0"/>
        <v>8.1697971601751398</v>
      </c>
      <c r="U6" s="38">
        <v>5.4591212188417781</v>
      </c>
      <c r="V6" s="38">
        <v>0.71961994123344031</v>
      </c>
      <c r="W6" s="38">
        <v>2.4705972130613318</v>
      </c>
      <c r="X6" s="38">
        <v>2.8311544434387548</v>
      </c>
      <c r="Y6" s="38">
        <v>2.705577453776975</v>
      </c>
      <c r="Z6" s="38">
        <v>2.6477417881965559</v>
      </c>
    </row>
    <row r="7" spans="1:26" s="26" customFormat="1" ht="13.5" x14ac:dyDescent="0.25">
      <c r="A7" s="37" t="s">
        <v>31</v>
      </c>
      <c r="B7" s="26">
        <f>'Historical Data'!B17</f>
        <v>144545</v>
      </c>
      <c r="C7" s="38">
        <f>'Historical Data'!C17</f>
        <v>152175</v>
      </c>
      <c r="D7" s="38">
        <f>'Historical Data'!D17</f>
        <v>161184</v>
      </c>
      <c r="E7" s="38">
        <f>'Historical Data'!E17</f>
        <v>166051</v>
      </c>
      <c r="F7" s="38">
        <f>'Historical Data'!F17</f>
        <v>177212</v>
      </c>
      <c r="G7" s="38">
        <f>'Historical Data'!G17</f>
        <v>187314</v>
      </c>
      <c r="H7" s="38">
        <f>'Historical Data'!H17</f>
        <v>196812</v>
      </c>
      <c r="I7" s="38">
        <f>'Historical Data'!I17</f>
        <v>207291</v>
      </c>
      <c r="J7" s="38">
        <f>'Historical Data'!J17</f>
        <v>198003</v>
      </c>
      <c r="K7" s="38">
        <f>'Historical Data'!K17</f>
        <v>187946</v>
      </c>
      <c r="L7" s="38">
        <f>'Historical Data'!L17</f>
        <v>191348</v>
      </c>
      <c r="M7" s="38">
        <f>'Historical Data'!M17</f>
        <v>192005</v>
      </c>
      <c r="N7" s="38">
        <f>'Historical Data'!N17</f>
        <v>192439</v>
      </c>
      <c r="O7" s="38">
        <f>'Historical Data'!O17</f>
        <v>195040</v>
      </c>
      <c r="P7" s="38">
        <f>'Historical Data'!P17</f>
        <v>211729</v>
      </c>
      <c r="Q7" s="38">
        <f>'Historical Data'!Q17</f>
        <v>265005</v>
      </c>
      <c r="R7" s="38">
        <f>'Historical Data'!R17</f>
        <v>274752</v>
      </c>
      <c r="S7" s="38">
        <f>'Historical Data'!S17</f>
        <v>297131</v>
      </c>
      <c r="T7" s="38">
        <f>'Historical Data'!T17</f>
        <v>321406</v>
      </c>
      <c r="U7" s="38">
        <f>T7*(1+U6/100)</f>
        <v>338951.94314463058</v>
      </c>
      <c r="V7" s="38">
        <f t="shared" ref="V7:Z7" si="1">U7*(1+V6/100)</f>
        <v>341391.10891869757</v>
      </c>
      <c r="W7" s="38">
        <f t="shared" si="1"/>
        <v>349825.50814128207</v>
      </c>
      <c r="X7" s="38">
        <f t="shared" si="1"/>
        <v>359729.60855930619</v>
      </c>
      <c r="Y7" s="38">
        <f t="shared" si="1"/>
        <v>369462.37174304697</v>
      </c>
      <c r="Z7" s="38">
        <f t="shared" si="1"/>
        <v>379244.78135134972</v>
      </c>
    </row>
    <row r="8" spans="1:26" s="26" customFormat="1" ht="13.5" x14ac:dyDescent="0.25">
      <c r="A8" s="37" t="s">
        <v>8</v>
      </c>
      <c r="B8" s="31">
        <f>'Historical Data'!B15</f>
        <v>108380</v>
      </c>
      <c r="C8" s="31">
        <f>'Historical Data'!C15</f>
        <v>121959</v>
      </c>
      <c r="D8" s="31">
        <f>'Historical Data'!D15</f>
        <v>135960</v>
      </c>
      <c r="E8" s="31">
        <f>'Historical Data'!E15</f>
        <v>145556</v>
      </c>
      <c r="F8" s="31">
        <f>'Historical Data'!F15</f>
        <v>156143</v>
      </c>
      <c r="G8" s="31">
        <f>'Historical Data'!G15</f>
        <v>170187</v>
      </c>
      <c r="H8" s="31">
        <f>'Historical Data'!H15</f>
        <v>184994</v>
      </c>
      <c r="I8" s="31">
        <f>'Historical Data'!I15</f>
        <v>197202</v>
      </c>
      <c r="J8" s="31">
        <f>'Historical Data'!J15</f>
        <v>187769</v>
      </c>
      <c r="K8" s="31">
        <f>'Historical Data'!K15</f>
        <v>170101</v>
      </c>
      <c r="L8" s="31">
        <f>'Historical Data'!L15</f>
        <v>167732</v>
      </c>
      <c r="M8" s="31">
        <f>'Historical Data'!M15</f>
        <v>170827</v>
      </c>
      <c r="N8" s="31">
        <f>'Historical Data'!N15</f>
        <v>175116</v>
      </c>
      <c r="O8" s="31">
        <f>'Historical Data'!O15</f>
        <v>179661</v>
      </c>
      <c r="P8" s="31">
        <f>'Historical Data'!P15</f>
        <v>194818</v>
      </c>
      <c r="Q8" s="31">
        <f>'Historical Data'!Q15</f>
        <v>262833</v>
      </c>
      <c r="R8" s="31">
        <f>'Historical Data'!R15</f>
        <v>271684</v>
      </c>
      <c r="S8" s="31">
        <f>'Historical Data'!S15</f>
        <v>297131</v>
      </c>
      <c r="T8" s="31">
        <f>'Historical Data'!T15</f>
        <v>324038</v>
      </c>
      <c r="U8" s="39">
        <f>T8*(1+U9/100)</f>
        <v>343200.07888284227</v>
      </c>
      <c r="V8" s="39">
        <f t="shared" ref="V8:Z8" si="2">U8*(1+V9/100)</f>
        <v>351359.37061311456</v>
      </c>
      <c r="W8" s="39">
        <f t="shared" si="2"/>
        <v>365215.22191567003</v>
      </c>
      <c r="X8" s="39">
        <f t="shared" si="2"/>
        <v>380737.37684917293</v>
      </c>
      <c r="Y8" s="39">
        <f t="shared" si="2"/>
        <v>396463.81927564717</v>
      </c>
      <c r="Z8" s="39">
        <f t="shared" si="2"/>
        <v>412548.75918767881</v>
      </c>
    </row>
    <row r="9" spans="1:26" s="26" customFormat="1" ht="13.5" x14ac:dyDescent="0.25">
      <c r="A9" s="37" t="s">
        <v>173</v>
      </c>
      <c r="B9" s="31"/>
      <c r="C9" s="31">
        <f>(C8/B8-1)*100</f>
        <v>12.529064403026391</v>
      </c>
      <c r="D9" s="31">
        <f t="shared" ref="D9:T9" si="3">(D8/C8-1)*100</f>
        <v>11.480087570413012</v>
      </c>
      <c r="E9" s="31">
        <f t="shared" si="3"/>
        <v>7.0579582230067661</v>
      </c>
      <c r="F9" s="31">
        <f t="shared" si="3"/>
        <v>7.2734892412542163</v>
      </c>
      <c r="G9" s="31">
        <f t="shared" si="3"/>
        <v>8.9943193098633856</v>
      </c>
      <c r="H9" s="31">
        <f t="shared" si="3"/>
        <v>8.7004295275197272</v>
      </c>
      <c r="I9" s="31">
        <f t="shared" si="3"/>
        <v>6.5991329448522595</v>
      </c>
      <c r="J9" s="31">
        <f t="shared" si="3"/>
        <v>-4.7834200464498373</v>
      </c>
      <c r="K9" s="31">
        <f t="shared" si="3"/>
        <v>-9.4094339321187164</v>
      </c>
      <c r="L9" s="31">
        <f t="shared" si="3"/>
        <v>-1.3927019829395482</v>
      </c>
      <c r="M9" s="31">
        <f t="shared" si="3"/>
        <v>1.8452054467841483</v>
      </c>
      <c r="N9" s="31">
        <f t="shared" si="3"/>
        <v>2.5107272269606185</v>
      </c>
      <c r="O9" s="31">
        <f t="shared" si="3"/>
        <v>2.5954224628246481</v>
      </c>
      <c r="P9" s="31">
        <f t="shared" si="3"/>
        <v>8.4364441921173761</v>
      </c>
      <c r="Q9" s="31">
        <f t="shared" si="3"/>
        <v>34.912071779815015</v>
      </c>
      <c r="R9" s="31">
        <f t="shared" si="3"/>
        <v>3.3675375618738901</v>
      </c>
      <c r="S9" s="31">
        <f t="shared" si="3"/>
        <v>9.3663962544721091</v>
      </c>
      <c r="T9" s="31">
        <f t="shared" si="3"/>
        <v>9.0556017379539675</v>
      </c>
      <c r="U9" s="26">
        <v>5.913528315457528</v>
      </c>
      <c r="V9" s="26">
        <v>2.3774154588867669</v>
      </c>
      <c r="W9" s="26">
        <v>3.9434984410341212</v>
      </c>
      <c r="X9" s="26">
        <v>4.2501390966357411</v>
      </c>
      <c r="Y9" s="26">
        <v>4.1305223449874751</v>
      </c>
      <c r="Z9" s="26">
        <v>4.0571015890981776</v>
      </c>
    </row>
    <row r="10" spans="1:26" s="26" customFormat="1" ht="13.5" x14ac:dyDescent="0.25">
      <c r="A10" s="37" t="s">
        <v>17</v>
      </c>
      <c r="B10" s="31">
        <f>B8/B7*100</f>
        <v>74.980110000345917</v>
      </c>
      <c r="C10" s="40">
        <f t="shared" ref="C10:T10" si="4">C8/C7*100</f>
        <v>80.143913257762449</v>
      </c>
      <c r="D10" s="40">
        <f t="shared" si="4"/>
        <v>84.35080405002978</v>
      </c>
      <c r="E10" s="40">
        <f t="shared" si="4"/>
        <v>87.657406459461257</v>
      </c>
      <c r="F10" s="40">
        <f t="shared" si="4"/>
        <v>88.110850281019353</v>
      </c>
      <c r="G10" s="40">
        <f t="shared" si="4"/>
        <v>90.856529677440022</v>
      </c>
      <c r="H10" s="40">
        <f t="shared" si="4"/>
        <v>93.995284840355268</v>
      </c>
      <c r="I10" s="40">
        <f t="shared" si="4"/>
        <v>95.132929070726661</v>
      </c>
      <c r="J10" s="40">
        <f t="shared" si="4"/>
        <v>94.831391443563987</v>
      </c>
      <c r="K10" s="40">
        <f t="shared" si="4"/>
        <v>90.505251508411988</v>
      </c>
      <c r="L10" s="40">
        <f t="shared" si="4"/>
        <v>87.658088926981208</v>
      </c>
      <c r="M10" s="40">
        <f t="shared" si="4"/>
        <v>88.970078904195205</v>
      </c>
      <c r="N10" s="40">
        <f t="shared" si="4"/>
        <v>90.998186438299939</v>
      </c>
      <c r="O10" s="40">
        <f t="shared" si="4"/>
        <v>92.114950779327316</v>
      </c>
      <c r="P10" s="40">
        <f t="shared" si="4"/>
        <v>92.012903286748625</v>
      </c>
      <c r="Q10" s="40">
        <f t="shared" si="4"/>
        <v>99.180392822776923</v>
      </c>
      <c r="R10" s="40">
        <f t="shared" si="4"/>
        <v>98.883356627067315</v>
      </c>
      <c r="S10" s="40">
        <f t="shared" si="4"/>
        <v>100</v>
      </c>
      <c r="T10" s="40">
        <f t="shared" si="4"/>
        <v>100.81890194955912</v>
      </c>
      <c r="U10" s="38">
        <f t="shared" ref="U10" si="5">U8/U7*100</f>
        <v>101.25331505664181</v>
      </c>
      <c r="V10" s="38">
        <f t="shared" ref="V10" si="6">V8/V7*100</f>
        <v>102.91989493399225</v>
      </c>
      <c r="W10" s="38">
        <f t="shared" ref="W10" si="7">W8/W7*100</f>
        <v>104.39925431857662</v>
      </c>
      <c r="X10" s="38">
        <f t="shared" ref="X10" si="8">X8/X7*100</f>
        <v>105.83987744962154</v>
      </c>
      <c r="Y10" s="38">
        <f t="shared" ref="Y10:Z10" si="9">Y8/Y7*100</f>
        <v>107.3083078542513</v>
      </c>
      <c r="Z10" s="38">
        <f t="shared" si="9"/>
        <v>108.78165751356109</v>
      </c>
    </row>
    <row r="11" spans="1:26" s="26" customFormat="1" ht="13.5" x14ac:dyDescent="0.25">
      <c r="A11" s="37" t="s">
        <v>18</v>
      </c>
      <c r="B11" s="41"/>
      <c r="C11" s="41">
        <f>(C10/B10-1)*100</f>
        <v>6.8868974150514184</v>
      </c>
      <c r="D11" s="41">
        <f t="shared" ref="D11:Z11" si="10">(D10/C10-1)*100</f>
        <v>5.2491706746798483</v>
      </c>
      <c r="E11" s="41">
        <f t="shared" si="10"/>
        <v>3.9200603321697836</v>
      </c>
      <c r="F11" s="41">
        <f t="shared" si="10"/>
        <v>0.51729093966270678</v>
      </c>
      <c r="G11" s="41">
        <f t="shared" si="10"/>
        <v>3.1161649077992681</v>
      </c>
      <c r="H11" s="41">
        <f t="shared" si="10"/>
        <v>3.4546280537661955</v>
      </c>
      <c r="I11" s="41">
        <f t="shared" si="10"/>
        <v>1.2103205307623766</v>
      </c>
      <c r="J11" s="41">
        <f t="shared" si="10"/>
        <v>-0.31696451492468913</v>
      </c>
      <c r="K11" s="41">
        <f t="shared" si="10"/>
        <v>-4.5619281435162478</v>
      </c>
      <c r="L11" s="41">
        <f t="shared" si="10"/>
        <v>-3.1458534548861494</v>
      </c>
      <c r="M11" s="41">
        <f t="shared" si="10"/>
        <v>1.4967129597211359</v>
      </c>
      <c r="N11" s="41">
        <f t="shared" si="10"/>
        <v>2.2795388731627897</v>
      </c>
      <c r="O11" s="41">
        <f t="shared" si="10"/>
        <v>1.2272380195011756</v>
      </c>
      <c r="P11" s="41">
        <f t="shared" si="10"/>
        <v>-0.11078276839463497</v>
      </c>
      <c r="Q11" s="41">
        <f t="shared" si="10"/>
        <v>7.7896569720135478</v>
      </c>
      <c r="R11" s="41">
        <f t="shared" si="10"/>
        <v>-0.29949084416349692</v>
      </c>
      <c r="S11" s="41">
        <f t="shared" si="10"/>
        <v>1.1292531028695096</v>
      </c>
      <c r="T11" s="41">
        <f t="shared" si="10"/>
        <v>0.81890194955911433</v>
      </c>
      <c r="U11" s="41">
        <f t="shared" si="10"/>
        <v>0.43088458481728154</v>
      </c>
      <c r="V11" s="41">
        <f t="shared" si="10"/>
        <v>1.6459509265629002</v>
      </c>
      <c r="W11" s="41">
        <f t="shared" si="10"/>
        <v>1.4373891321334487</v>
      </c>
      <c r="X11" s="41">
        <f t="shared" si="10"/>
        <v>1.3799170697606833</v>
      </c>
      <c r="Y11" s="41">
        <f t="shared" si="10"/>
        <v>1.3874075065220204</v>
      </c>
      <c r="Z11" s="41">
        <f t="shared" si="10"/>
        <v>1.3730061434860552</v>
      </c>
    </row>
    <row r="12" spans="1:26" s="26" customFormat="1" ht="13.5" x14ac:dyDescent="0.25">
      <c r="A12" s="37" t="s">
        <v>32</v>
      </c>
      <c r="B12" s="26">
        <v>138.61565000000002</v>
      </c>
      <c r="C12" s="38">
        <v>146.53070000000002</v>
      </c>
      <c r="D12" s="38">
        <v>154.12429999999998</v>
      </c>
      <c r="E12" s="38">
        <v>162.13854999999998</v>
      </c>
      <c r="F12" s="38">
        <v>170.52525</v>
      </c>
      <c r="G12" s="38">
        <v>178.04954999999998</v>
      </c>
      <c r="H12" s="38">
        <v>184.54515000000004</v>
      </c>
      <c r="I12" s="38">
        <v>189.21250000000001</v>
      </c>
      <c r="J12" s="38">
        <v>192.2808</v>
      </c>
      <c r="K12" s="38">
        <v>197.16895000000002</v>
      </c>
      <c r="L12" s="38">
        <v>203.50550000000004</v>
      </c>
      <c r="M12" s="38">
        <v>207.51670000000001</v>
      </c>
      <c r="N12" s="38">
        <v>209.51310000000004</v>
      </c>
      <c r="O12" s="38">
        <v>213.42440000000002</v>
      </c>
      <c r="P12" s="38">
        <v>221.97795000000002</v>
      </c>
      <c r="Q12" s="38">
        <v>273.9622</v>
      </c>
      <c r="R12" s="38">
        <v>281.65430000000003</v>
      </c>
      <c r="S12" s="38">
        <v>305.07439999999997</v>
      </c>
      <c r="T12" s="38">
        <v>322.19319999999993</v>
      </c>
      <c r="U12" s="38">
        <v>335.65924999999999</v>
      </c>
      <c r="V12" s="38">
        <v>342.54849999999999</v>
      </c>
      <c r="W12" s="38">
        <v>348.00829999999991</v>
      </c>
      <c r="X12" s="38">
        <v>355.28629999999993</v>
      </c>
      <c r="Y12" s="38">
        <v>362.63070000000005</v>
      </c>
      <c r="Z12" s="38">
        <v>371.37320000000005</v>
      </c>
    </row>
    <row r="13" spans="1:26" s="26" customFormat="1" ht="13.5" x14ac:dyDescent="0.25">
      <c r="A13" s="37" t="s">
        <v>19</v>
      </c>
      <c r="B13" s="41">
        <v>6.6429425952625651</v>
      </c>
      <c r="C13" s="41">
        <v>5.4012865394022693</v>
      </c>
      <c r="D13" s="41">
        <v>4.9260398753027204</v>
      </c>
      <c r="E13" s="41">
        <v>4.9430113642996503</v>
      </c>
      <c r="F13" s="41">
        <v>4.9184611745399547</v>
      </c>
      <c r="G13" s="41">
        <v>4.2256725358457405</v>
      </c>
      <c r="H13" s="41">
        <v>3.5195228412402297</v>
      </c>
      <c r="I13" s="41">
        <v>2.4667194727648849</v>
      </c>
      <c r="J13" s="41">
        <v>1.5934641438081951</v>
      </c>
      <c r="K13" s="41">
        <v>2.4666558503399498</v>
      </c>
      <c r="L13" s="41">
        <v>3.0966400625984201</v>
      </c>
      <c r="M13" s="41">
        <v>1.9324271856425099</v>
      </c>
      <c r="N13" s="41">
        <v>0.96359263238917303</v>
      </c>
      <c r="O13" s="41">
        <v>1.8389194754689702</v>
      </c>
      <c r="P13" s="41">
        <v>3.8552933488468248</v>
      </c>
      <c r="Q13" s="41">
        <v>18.966246287352853</v>
      </c>
      <c r="R13" s="41">
        <v>2.7026511880236401</v>
      </c>
      <c r="S13" s="41">
        <v>7.6650871630950395</v>
      </c>
      <c r="T13" s="41">
        <v>5.3143677984138549</v>
      </c>
      <c r="U13" s="41">
        <v>4.0185687754818549</v>
      </c>
      <c r="V13" s="41">
        <v>2.0204199242895298</v>
      </c>
      <c r="W13" s="41">
        <v>1.5757335508940147</v>
      </c>
      <c r="X13" s="41">
        <v>2.051777511988615</v>
      </c>
      <c r="Y13" s="41">
        <v>2.0265119170178001</v>
      </c>
      <c r="Z13" s="41">
        <v>2.3544896191347053</v>
      </c>
    </row>
    <row r="14" spans="1:26" s="26" customFormat="1" ht="13.5" x14ac:dyDescent="0.25">
      <c r="A14" s="37" t="s">
        <v>20</v>
      </c>
      <c r="B14" s="38">
        <v>4.2775785000000006</v>
      </c>
      <c r="C14" s="38">
        <v>3.8524235</v>
      </c>
      <c r="D14" s="38">
        <v>4.5818095000000003</v>
      </c>
      <c r="E14" s="38">
        <v>2.4145655000000001</v>
      </c>
      <c r="F14" s="38">
        <v>3.9214595000000001</v>
      </c>
      <c r="G14" s="38">
        <v>5.2034514999999999</v>
      </c>
      <c r="H14" s="38">
        <v>6.6476740000000003</v>
      </c>
      <c r="I14" s="38">
        <v>9.5546825000000002</v>
      </c>
      <c r="J14" s="38">
        <v>2.9798315</v>
      </c>
      <c r="K14" s="38">
        <v>-4.6568065000000001</v>
      </c>
      <c r="L14" s="38">
        <v>-5.9260335000000008</v>
      </c>
      <c r="M14" s="38">
        <v>-7.4266850000000009</v>
      </c>
      <c r="N14" s="38">
        <v>-8.1260674999999996</v>
      </c>
      <c r="O14" s="38">
        <v>-8.6066289999999999</v>
      </c>
      <c r="P14" s="38">
        <v>-4.6151774999999997</v>
      </c>
      <c r="Q14" s="38">
        <v>-3.2627364999999999</v>
      </c>
      <c r="R14" s="38">
        <v>-2.4043945</v>
      </c>
      <c r="S14" s="38">
        <v>-2.5350075000000003</v>
      </c>
      <c r="T14" s="38">
        <v>-0.17638050000000005</v>
      </c>
      <c r="U14" s="38">
        <v>1.0356654999999999</v>
      </c>
      <c r="V14" s="38">
        <v>-0.29526149999999995</v>
      </c>
      <c r="W14" s="38">
        <v>0.54706750000000004</v>
      </c>
      <c r="X14" s="38">
        <v>1.2654974999999999</v>
      </c>
      <c r="Y14" s="38">
        <v>1.889877</v>
      </c>
      <c r="Z14" s="38">
        <v>2.1167075</v>
      </c>
    </row>
    <row r="15" spans="1:26" s="26" customFormat="1" ht="13.5" x14ac:dyDescent="0.25">
      <c r="A15" s="37" t="s">
        <v>30</v>
      </c>
      <c r="B15" s="38">
        <v>5.5</v>
      </c>
      <c r="C15" s="38">
        <v>5.5</v>
      </c>
      <c r="D15" s="38">
        <v>5.5</v>
      </c>
      <c r="E15" s="38">
        <v>5.5</v>
      </c>
      <c r="F15" s="38">
        <v>5.5</v>
      </c>
      <c r="G15" s="38">
        <v>5.5</v>
      </c>
      <c r="H15" s="38">
        <v>5.5</v>
      </c>
      <c r="I15" s="38">
        <v>5.5</v>
      </c>
      <c r="J15" s="38">
        <v>5.5</v>
      </c>
      <c r="K15" s="38">
        <v>5.5</v>
      </c>
      <c r="L15" s="38">
        <v>5.5</v>
      </c>
      <c r="M15" s="38">
        <v>5.5</v>
      </c>
      <c r="N15" s="38">
        <v>5.5</v>
      </c>
      <c r="O15" s="38">
        <v>5.5</v>
      </c>
      <c r="P15" s="38">
        <v>5.5</v>
      </c>
      <c r="Q15" s="38">
        <v>5.5</v>
      </c>
      <c r="R15" s="38">
        <v>5.5</v>
      </c>
      <c r="S15" s="38">
        <v>5.5</v>
      </c>
      <c r="T15" s="38">
        <v>5.5</v>
      </c>
      <c r="U15" s="38">
        <v>5.5</v>
      </c>
      <c r="V15" s="38">
        <v>5.5</v>
      </c>
      <c r="W15" s="38">
        <v>5.5</v>
      </c>
      <c r="X15" s="38">
        <v>5.5</v>
      </c>
      <c r="Y15" s="38">
        <v>5.5</v>
      </c>
      <c r="Z15" s="38">
        <v>5.5</v>
      </c>
    </row>
    <row r="16" spans="1:26" s="26" customFormat="1" ht="13.5" x14ac:dyDescent="0.25">
      <c r="A16" s="37" t="s">
        <v>165</v>
      </c>
      <c r="B16" s="26">
        <f>'Historical Data'!B7</f>
        <v>33486</v>
      </c>
      <c r="C16" s="26">
        <f>'Historical Data'!C7</f>
        <v>39652</v>
      </c>
      <c r="D16" s="26">
        <f>'Historical Data'!D7</f>
        <v>45163</v>
      </c>
      <c r="E16" s="26">
        <f>'Historical Data'!E7</f>
        <v>48056</v>
      </c>
      <c r="F16" s="26">
        <f>'Historical Data'!F7</f>
        <v>51818</v>
      </c>
      <c r="G16" s="26">
        <f>'Historical Data'!G7</f>
        <v>56795</v>
      </c>
      <c r="H16" s="26">
        <f>'Historical Data'!H7</f>
        <v>62668</v>
      </c>
      <c r="I16" s="26">
        <f>'Historical Data'!I7</f>
        <v>70875</v>
      </c>
      <c r="J16" s="26">
        <f>'Historical Data'!J7</f>
        <v>78569</v>
      </c>
      <c r="K16" s="26">
        <f>'Historical Data'!K7</f>
        <v>80027</v>
      </c>
      <c r="L16" s="26">
        <f>'Historical Data'!L7</f>
        <v>109160</v>
      </c>
      <c r="M16" s="26">
        <f>'Historical Data'!M7</f>
        <v>79696</v>
      </c>
      <c r="N16" s="26">
        <f>'Historical Data'!N7</f>
        <v>73686</v>
      </c>
      <c r="O16" s="26">
        <f>'Historical Data'!O7</f>
        <v>72607</v>
      </c>
      <c r="P16" s="26">
        <f>'Historical Data'!P7</f>
        <v>73145</v>
      </c>
      <c r="Q16" s="26">
        <f>'Historical Data'!Q7</f>
        <v>76007</v>
      </c>
      <c r="R16" s="26">
        <f>'Historical Data'!R7</f>
        <v>75361</v>
      </c>
      <c r="S16" s="26">
        <f>'Historical Data'!S7</f>
        <v>77481</v>
      </c>
      <c r="T16" s="26">
        <f>'Historical Data'!T7</f>
        <v>82168</v>
      </c>
      <c r="U16" s="26">
        <v>85695</v>
      </c>
      <c r="V16" s="26">
        <v>90685</v>
      </c>
      <c r="W16" s="26">
        <v>92795</v>
      </c>
      <c r="X16" s="26">
        <v>95735</v>
      </c>
      <c r="Y16" s="26">
        <v>98785</v>
      </c>
      <c r="Z16" s="26">
        <v>101890</v>
      </c>
    </row>
    <row r="17" spans="1:26" s="26" customFormat="1" ht="13.5" x14ac:dyDescent="0.25">
      <c r="A17" s="37" t="s">
        <v>166</v>
      </c>
      <c r="B17" s="31">
        <f>'Historical Data'!B6</f>
        <v>38745</v>
      </c>
      <c r="C17" s="31">
        <f>'Historical Data'!C6</f>
        <v>40815</v>
      </c>
      <c r="D17" s="31">
        <f>'Historical Data'!D6</f>
        <v>44448</v>
      </c>
      <c r="E17" s="31">
        <f>'Historical Data'!E6</f>
        <v>48551</v>
      </c>
      <c r="F17" s="31">
        <f>'Historical Data'!F6</f>
        <v>53838</v>
      </c>
      <c r="G17" s="31">
        <f>'Historical Data'!G6</f>
        <v>59459</v>
      </c>
      <c r="H17" s="31">
        <f>'Historical Data'!H6</f>
        <v>67791</v>
      </c>
      <c r="I17" s="31">
        <f>'Historical Data'!I6</f>
        <v>71394</v>
      </c>
      <c r="J17" s="31">
        <f>'Historical Data'!J6</f>
        <v>65392</v>
      </c>
      <c r="K17" s="31">
        <f>'Historical Data'!K6</f>
        <v>56511</v>
      </c>
      <c r="L17" s="31">
        <f>'Historical Data'!L6</f>
        <v>55386</v>
      </c>
      <c r="M17" s="31">
        <f>'Historical Data'!M6</f>
        <v>57759</v>
      </c>
      <c r="N17" s="31">
        <f>'Historical Data'!N6</f>
        <v>59516</v>
      </c>
      <c r="O17" s="31">
        <f>'Historical Data'!O6</f>
        <v>61517</v>
      </c>
      <c r="P17" s="31">
        <f>'Historical Data'!P6</f>
        <v>66038</v>
      </c>
      <c r="Q17" s="31">
        <f>'Historical Data'!Q6</f>
        <v>70884</v>
      </c>
      <c r="R17" s="31">
        <f>'Historical Data'!R6</f>
        <v>73481</v>
      </c>
      <c r="S17" s="31">
        <f>'Historical Data'!S6</f>
        <v>76574</v>
      </c>
      <c r="T17" s="31">
        <f>'Historical Data'!T6</f>
        <v>82337</v>
      </c>
      <c r="U17" s="26">
        <v>86365</v>
      </c>
      <c r="V17" s="26">
        <v>88670</v>
      </c>
      <c r="W17" s="26">
        <v>92065</v>
      </c>
      <c r="X17" s="26">
        <v>95930</v>
      </c>
      <c r="Y17" s="26">
        <v>100275</v>
      </c>
      <c r="Z17" s="26">
        <v>104965</v>
      </c>
    </row>
    <row r="18" spans="1:26" s="26" customFormat="1" ht="13.5" x14ac:dyDescent="0.25">
      <c r="A18" s="37" t="s">
        <v>167</v>
      </c>
      <c r="B18" s="31">
        <f>B17-B16</f>
        <v>5259</v>
      </c>
      <c r="C18" s="31">
        <f t="shared" ref="C18:T18" si="11">C17-C16</f>
        <v>1163</v>
      </c>
      <c r="D18" s="31">
        <f t="shared" si="11"/>
        <v>-715</v>
      </c>
      <c r="E18" s="31">
        <f t="shared" si="11"/>
        <v>495</v>
      </c>
      <c r="F18" s="31">
        <f t="shared" si="11"/>
        <v>2020</v>
      </c>
      <c r="G18" s="31">
        <f t="shared" si="11"/>
        <v>2664</v>
      </c>
      <c r="H18" s="31">
        <f t="shared" si="11"/>
        <v>5123</v>
      </c>
      <c r="I18" s="31">
        <f t="shared" si="11"/>
        <v>519</v>
      </c>
      <c r="J18" s="31">
        <f t="shared" si="11"/>
        <v>-13177</v>
      </c>
      <c r="K18" s="31">
        <f t="shared" si="11"/>
        <v>-23516</v>
      </c>
      <c r="L18" s="31">
        <f t="shared" si="11"/>
        <v>-53774</v>
      </c>
      <c r="M18" s="31">
        <f t="shared" si="11"/>
        <v>-21937</v>
      </c>
      <c r="N18" s="31">
        <f t="shared" si="11"/>
        <v>-14170</v>
      </c>
      <c r="O18" s="31">
        <f t="shared" si="11"/>
        <v>-11090</v>
      </c>
      <c r="P18" s="31">
        <f t="shared" si="11"/>
        <v>-7107</v>
      </c>
      <c r="Q18" s="31">
        <f t="shared" si="11"/>
        <v>-5123</v>
      </c>
      <c r="R18" s="31">
        <f t="shared" si="11"/>
        <v>-1880</v>
      </c>
      <c r="S18" s="31">
        <f t="shared" si="11"/>
        <v>-907</v>
      </c>
      <c r="T18" s="31">
        <f t="shared" si="11"/>
        <v>169</v>
      </c>
      <c r="U18" s="26">
        <v>670</v>
      </c>
      <c r="V18" s="26">
        <v>-2015</v>
      </c>
      <c r="W18" s="26">
        <v>-730</v>
      </c>
      <c r="X18" s="26">
        <v>195</v>
      </c>
      <c r="Y18" s="26">
        <v>1490</v>
      </c>
      <c r="Z18" s="26">
        <v>3075</v>
      </c>
    </row>
    <row r="19" spans="1:26" s="26" customFormat="1" ht="13.5" x14ac:dyDescent="0.25">
      <c r="A19" s="37" t="s">
        <v>26</v>
      </c>
      <c r="B19" s="31">
        <f>'Historical Data'!B11</f>
        <v>3800</v>
      </c>
      <c r="C19" s="31">
        <f>'Historical Data'!C11</f>
        <v>5152</v>
      </c>
      <c r="D19" s="31">
        <f>'Historical Data'!D11</f>
        <v>5741</v>
      </c>
      <c r="E19" s="31">
        <f>'Historical Data'!E11</f>
        <v>5352</v>
      </c>
      <c r="F19" s="31">
        <f>'Historical Data'!F11</f>
        <v>5506</v>
      </c>
      <c r="G19" s="31">
        <f>'Historical Data'!G11</f>
        <v>6024</v>
      </c>
      <c r="H19" s="31">
        <f>'Historical Data'!H11</f>
        <v>7028</v>
      </c>
      <c r="I19" s="31">
        <f>'Historical Data'!I11</f>
        <v>9206</v>
      </c>
      <c r="J19" s="31">
        <f>'Historical Data'!J11</f>
        <v>9877</v>
      </c>
      <c r="K19" s="31">
        <f>'Historical Data'!K11</f>
        <v>6408</v>
      </c>
      <c r="L19" s="31">
        <f>'Historical Data'!L11</f>
        <v>5692</v>
      </c>
      <c r="M19" s="31">
        <f>'Historical Data'!M11</f>
        <v>4239</v>
      </c>
      <c r="N19" s="31">
        <f>'Historical Data'!N11</f>
        <v>3568</v>
      </c>
      <c r="O19" s="31">
        <f>'Historical Data'!O11</f>
        <v>3613</v>
      </c>
      <c r="P19" s="31">
        <f>'Historical Data'!P11</f>
        <v>4279</v>
      </c>
      <c r="Q19" s="31">
        <f>'Historical Data'!Q11</f>
        <v>4680</v>
      </c>
      <c r="R19" s="31">
        <f>'Historical Data'!R11</f>
        <v>5182</v>
      </c>
      <c r="S19" s="31">
        <f>'Historical Data'!S11</f>
        <v>5251</v>
      </c>
      <c r="T19" s="31">
        <f>'Historical Data'!T11</f>
        <v>6332</v>
      </c>
      <c r="U19" s="26">
        <v>7935</v>
      </c>
      <c r="V19" s="26">
        <v>8815</v>
      </c>
      <c r="W19" s="26">
        <v>9065</v>
      </c>
      <c r="X19" s="26">
        <v>9385</v>
      </c>
      <c r="Y19" s="26">
        <v>10025</v>
      </c>
      <c r="Z19" s="26">
        <v>10695</v>
      </c>
    </row>
    <row r="20" spans="1:26" s="26" customFormat="1" ht="13.5" x14ac:dyDescent="0.25">
      <c r="A20" s="42" t="s">
        <v>27</v>
      </c>
      <c r="B20" s="31">
        <f>'Historical Data'!B8</f>
        <v>2107</v>
      </c>
      <c r="C20" s="31">
        <f>'Historical Data'!C8</f>
        <v>1757</v>
      </c>
      <c r="D20" s="31">
        <f>'Historical Data'!D8</f>
        <v>1793</v>
      </c>
      <c r="E20" s="31">
        <f>'Historical Data'!E8</f>
        <v>1775</v>
      </c>
      <c r="F20" s="31">
        <f>'Historical Data'!F8</f>
        <v>1714</v>
      </c>
      <c r="G20" s="31">
        <f>'Historical Data'!G8</f>
        <v>1742</v>
      </c>
      <c r="H20" s="31">
        <f>'Historical Data'!H8</f>
        <v>1850</v>
      </c>
      <c r="I20" s="31">
        <f>'Historical Data'!I8</f>
        <v>1985</v>
      </c>
      <c r="J20" s="31">
        <f>'Historical Data'!J8</f>
        <v>2403</v>
      </c>
      <c r="K20" s="31">
        <f>'Historical Data'!K8</f>
        <v>3416</v>
      </c>
      <c r="L20" s="31">
        <f>'Historical Data'!L8</f>
        <v>4748</v>
      </c>
      <c r="M20" s="31">
        <f>'Historical Data'!M8</f>
        <v>5768</v>
      </c>
      <c r="N20" s="31">
        <f>'Historical Data'!N8</f>
        <v>7298</v>
      </c>
      <c r="O20" s="31">
        <f>'Historical Data'!O8</f>
        <v>7760</v>
      </c>
      <c r="P20" s="31">
        <f>'Historical Data'!P8</f>
        <v>7589</v>
      </c>
      <c r="Q20" s="31">
        <f>'Historical Data'!Q8</f>
        <v>6850</v>
      </c>
      <c r="R20" s="31">
        <f>'Historical Data'!R8</f>
        <v>6167</v>
      </c>
      <c r="S20" s="31">
        <f>'Historical Data'!S8</f>
        <v>5838</v>
      </c>
      <c r="T20" s="31">
        <f>'Historical Data'!T8</f>
        <v>5235</v>
      </c>
      <c r="U20" s="39">
        <v>4680</v>
      </c>
      <c r="V20" s="39">
        <v>4015</v>
      </c>
      <c r="W20" s="39">
        <v>3700</v>
      </c>
      <c r="X20" s="39">
        <v>3870</v>
      </c>
      <c r="Y20" s="39">
        <v>4045</v>
      </c>
      <c r="Z20" s="39">
        <v>3935</v>
      </c>
    </row>
    <row r="21" spans="1:26" s="26" customFormat="1" ht="13.5" x14ac:dyDescent="0.25">
      <c r="A21" s="42" t="s">
        <v>28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>
        <v>250</v>
      </c>
      <c r="N21" s="31">
        <v>185.84022816999942</v>
      </c>
      <c r="O21" s="31">
        <v>142.03942925000024</v>
      </c>
      <c r="P21" s="31">
        <v>378.09179999999998</v>
      </c>
      <c r="Q21" s="31">
        <v>380</v>
      </c>
      <c r="R21" s="31">
        <v>400</v>
      </c>
      <c r="S21" s="31">
        <v>500</v>
      </c>
      <c r="T21" s="31">
        <v>600</v>
      </c>
      <c r="U21" s="39">
        <v>690</v>
      </c>
      <c r="V21" s="39">
        <v>700</v>
      </c>
      <c r="W21" s="39">
        <v>730</v>
      </c>
      <c r="X21" s="39">
        <v>760</v>
      </c>
      <c r="Y21" s="39">
        <v>795</v>
      </c>
      <c r="Z21" s="39">
        <v>825</v>
      </c>
    </row>
    <row r="22" spans="1:26" s="26" customFormat="1" ht="13.5" x14ac:dyDescent="0.25">
      <c r="A22" s="37" t="s">
        <v>29</v>
      </c>
      <c r="B22" s="26">
        <f>'Historical Data'!B13</f>
        <v>39096</v>
      </c>
      <c r="C22" s="26">
        <f>'Historical Data'!C13</f>
        <v>40538</v>
      </c>
      <c r="D22" s="26">
        <f>'Historical Data'!D13</f>
        <v>41538</v>
      </c>
      <c r="E22" s="26">
        <f>'Historical Data'!E13</f>
        <v>43560</v>
      </c>
      <c r="F22" s="26">
        <f>'Historical Data'!F13</f>
        <v>44056</v>
      </c>
      <c r="G22" s="26">
        <f>'Historical Data'!G13</f>
        <v>44379</v>
      </c>
      <c r="H22" s="26">
        <f>'Historical Data'!H13</f>
        <v>43692</v>
      </c>
      <c r="I22" s="26">
        <f>'Historical Data'!I13</f>
        <v>47148</v>
      </c>
      <c r="J22" s="26">
        <f>'Historical Data'!J13</f>
        <v>79621</v>
      </c>
      <c r="K22" s="26">
        <f>'Historical Data'!K13</f>
        <v>104686</v>
      </c>
      <c r="L22" s="26">
        <f>'Historical Data'!L13</f>
        <v>144230</v>
      </c>
      <c r="M22" s="26">
        <f>'Historical Data'!M13</f>
        <v>189727</v>
      </c>
      <c r="N22" s="41">
        <f>'Historical Data'!N13</f>
        <v>210036</v>
      </c>
      <c r="O22" s="41">
        <f>'Historical Data'!O13</f>
        <v>215352</v>
      </c>
      <c r="P22" s="41">
        <f>'Historical Data'!P13</f>
        <v>203378</v>
      </c>
      <c r="Q22" s="26">
        <f>'Historical Data'!Q13</f>
        <v>201654</v>
      </c>
      <c r="R22" s="26">
        <f>'Historical Data'!R13</f>
        <v>200709</v>
      </c>
      <c r="S22" s="26">
        <f>'Historical Data'!S13</f>
        <v>201363</v>
      </c>
      <c r="T22" s="26">
        <f>'Historical Data'!T13</f>
        <v>205978</v>
      </c>
      <c r="U22" s="26">
        <v>203600</v>
      </c>
      <c r="V22" s="26">
        <v>198500</v>
      </c>
      <c r="W22" s="26">
        <v>205800</v>
      </c>
      <c r="X22" s="26">
        <v>207100</v>
      </c>
      <c r="Y22" s="26">
        <v>213200</v>
      </c>
      <c r="Z22" s="26">
        <v>218500</v>
      </c>
    </row>
    <row r="23" spans="1:26" s="26" customFormat="1" ht="13.5" x14ac:dyDescent="0.25">
      <c r="A23" s="37" t="s">
        <v>9</v>
      </c>
      <c r="B23" s="31">
        <f>'Historical Data'!B16</f>
        <v>94108</v>
      </c>
      <c r="C23" s="31">
        <f>'Historical Data'!C16</f>
        <v>103496</v>
      </c>
      <c r="D23" s="31">
        <f>'Historical Data'!D16</f>
        <v>112787</v>
      </c>
      <c r="E23" s="31">
        <f>'Historical Data'!E16</f>
        <v>123714</v>
      </c>
      <c r="F23" s="31">
        <f>'Historical Data'!F16</f>
        <v>132446</v>
      </c>
      <c r="G23" s="31">
        <f>'Historical Data'!G16</f>
        <v>144016</v>
      </c>
      <c r="H23" s="31">
        <f>'Historical Data'!H16</f>
        <v>157896</v>
      </c>
      <c r="I23" s="31">
        <f>'Historical Data'!I16</f>
        <v>165560</v>
      </c>
      <c r="J23" s="31">
        <f>'Historical Data'!J16</f>
        <v>156906</v>
      </c>
      <c r="K23" s="31">
        <f>'Historical Data'!K16</f>
        <v>134841</v>
      </c>
      <c r="L23" s="31">
        <f>'Historical Data'!L16</f>
        <v>128960</v>
      </c>
      <c r="M23" s="31">
        <f>'Historical Data'!M16</f>
        <v>126358</v>
      </c>
      <c r="N23" s="31">
        <f>'Historical Data'!N16</f>
        <v>126498</v>
      </c>
      <c r="O23" s="31">
        <f>'Historical Data'!O16</f>
        <v>136959</v>
      </c>
      <c r="P23" s="31">
        <f>'Historical Data'!P16</f>
        <v>148738</v>
      </c>
      <c r="Q23" s="31">
        <f>'Historical Data'!Q16</f>
        <v>162656</v>
      </c>
      <c r="R23" s="31">
        <f>'Historical Data'!R16</f>
        <v>175631</v>
      </c>
      <c r="S23" s="31">
        <f>'Historical Data'!S16</f>
        <v>183955</v>
      </c>
      <c r="T23" s="31">
        <v>192212</v>
      </c>
      <c r="U23" s="31">
        <v>203275</v>
      </c>
      <c r="V23" s="31">
        <v>203700</v>
      </c>
      <c r="W23" s="31">
        <v>210675</v>
      </c>
      <c r="X23" s="31">
        <v>218125</v>
      </c>
      <c r="Y23" s="31">
        <v>225550</v>
      </c>
      <c r="Z23" s="31">
        <v>232750</v>
      </c>
    </row>
    <row r="24" spans="1:26" s="26" customFormat="1" ht="13.5" x14ac:dyDescent="0.25">
      <c r="A24" s="37" t="s">
        <v>175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-0.5</v>
      </c>
      <c r="T24" s="31">
        <v>-0.5</v>
      </c>
      <c r="U24" s="39">
        <v>-0.5</v>
      </c>
      <c r="V24" s="39">
        <v>-0.5</v>
      </c>
      <c r="W24" s="39">
        <v>-0.5</v>
      </c>
      <c r="X24" s="39">
        <v>-0.5</v>
      </c>
      <c r="Y24" s="39">
        <v>-0.5</v>
      </c>
      <c r="Z24" s="39">
        <v>-0.5</v>
      </c>
    </row>
    <row r="25" spans="1:26" s="26" customFormat="1" ht="13.5" x14ac:dyDescent="0.25">
      <c r="A25" s="37"/>
    </row>
    <row r="26" spans="1:26" s="26" customFormat="1" ht="13.5" x14ac:dyDescent="0.25">
      <c r="A26" s="37" t="s">
        <v>174</v>
      </c>
    </row>
    <row r="27" spans="1:26" s="26" customFormat="1" ht="13.5" x14ac:dyDescent="0.25">
      <c r="A27" s="36" t="s">
        <v>22</v>
      </c>
      <c r="M27" s="26">
        <v>77</v>
      </c>
      <c r="N27" s="26">
        <v>0</v>
      </c>
      <c r="O27" s="26">
        <v>0</v>
      </c>
      <c r="P27" s="26">
        <v>0</v>
      </c>
      <c r="Q27" s="26">
        <v>0</v>
      </c>
      <c r="R27" s="26">
        <v>554</v>
      </c>
      <c r="S27" s="26">
        <v>0</v>
      </c>
      <c r="T27" s="26">
        <v>300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</row>
    <row r="28" spans="1:26" s="26" customFormat="1" ht="13.5" x14ac:dyDescent="0.25">
      <c r="A28" s="37" t="s">
        <v>23</v>
      </c>
      <c r="K28" s="26">
        <v>4000</v>
      </c>
      <c r="L28" s="26">
        <v>35390</v>
      </c>
      <c r="M28" s="26">
        <v>6820</v>
      </c>
      <c r="N28" s="41">
        <v>0</v>
      </c>
      <c r="O28" s="41">
        <v>-720</v>
      </c>
      <c r="P28" s="41">
        <v>180</v>
      </c>
      <c r="Q28" s="41">
        <v>2111</v>
      </c>
      <c r="R28" s="41">
        <v>170</v>
      </c>
      <c r="S28" s="41">
        <v>178</v>
      </c>
      <c r="T28" s="41">
        <v>213</v>
      </c>
      <c r="U28" s="26">
        <v>0</v>
      </c>
      <c r="V28" s="26">
        <v>650</v>
      </c>
      <c r="W28" s="26">
        <v>0</v>
      </c>
      <c r="X28" s="26">
        <v>0</v>
      </c>
      <c r="Y28" s="26">
        <v>0</v>
      </c>
      <c r="Z28" s="26">
        <v>0</v>
      </c>
    </row>
    <row r="29" spans="1:26" s="26" customFormat="1" ht="13.5" x14ac:dyDescent="0.25">
      <c r="A29" s="37" t="s">
        <v>24</v>
      </c>
      <c r="K29" s="26">
        <f t="shared" ref="K29:S29" si="12">K27-K28</f>
        <v>-4000</v>
      </c>
      <c r="L29" s="41">
        <f t="shared" si="12"/>
        <v>-35390</v>
      </c>
      <c r="M29" s="41">
        <f t="shared" si="12"/>
        <v>-6743</v>
      </c>
      <c r="N29" s="41">
        <f t="shared" si="12"/>
        <v>0</v>
      </c>
      <c r="O29" s="41">
        <f t="shared" si="12"/>
        <v>720</v>
      </c>
      <c r="P29" s="41">
        <f t="shared" si="12"/>
        <v>-180</v>
      </c>
      <c r="Q29" s="41">
        <f t="shared" si="12"/>
        <v>-2111</v>
      </c>
      <c r="R29" s="41">
        <f t="shared" si="12"/>
        <v>384</v>
      </c>
      <c r="S29" s="41">
        <f t="shared" si="12"/>
        <v>-178</v>
      </c>
      <c r="T29" s="41">
        <f>T27-T28</f>
        <v>87</v>
      </c>
      <c r="U29" s="26">
        <f>U27-U28</f>
        <v>0</v>
      </c>
      <c r="V29" s="26">
        <f t="shared" ref="V29:Z29" si="13">V27-V28</f>
        <v>-650</v>
      </c>
      <c r="W29" s="26">
        <f t="shared" si="13"/>
        <v>0</v>
      </c>
      <c r="X29" s="26">
        <f t="shared" si="13"/>
        <v>0</v>
      </c>
      <c r="Y29" s="26">
        <f t="shared" si="13"/>
        <v>0</v>
      </c>
      <c r="Z29" s="26">
        <f t="shared" si="13"/>
        <v>0</v>
      </c>
    </row>
    <row r="30" spans="1:26" s="26" customFormat="1" ht="13.5" x14ac:dyDescent="0.25">
      <c r="A30" s="37" t="s">
        <v>25</v>
      </c>
      <c r="L30" s="41"/>
      <c r="M30" s="41"/>
      <c r="N30" s="41"/>
      <c r="O30" s="41"/>
      <c r="P30" s="41">
        <v>907</v>
      </c>
      <c r="Q30" s="41">
        <v>-895</v>
      </c>
      <c r="R30" s="41">
        <v>-727</v>
      </c>
      <c r="S30" s="41">
        <v>-68.7</v>
      </c>
      <c r="T30" s="41">
        <v>851.5</v>
      </c>
      <c r="U30" s="26">
        <v>957.5</v>
      </c>
      <c r="V30" s="26">
        <v>1225</v>
      </c>
      <c r="W30" s="26">
        <v>-35</v>
      </c>
      <c r="X30" s="26">
        <v>-130</v>
      </c>
      <c r="Y30" s="26">
        <v>-20</v>
      </c>
      <c r="Z30" s="26">
        <v>-25</v>
      </c>
    </row>
    <row r="31" spans="1:26" s="26" customFormat="1" ht="13.5" x14ac:dyDescent="0.25">
      <c r="A31" s="37"/>
      <c r="N31" s="41"/>
      <c r="O31" s="41"/>
      <c r="P31" s="41"/>
      <c r="Q31" s="41"/>
      <c r="R31" s="41"/>
      <c r="S31" s="41"/>
      <c r="T31" s="41"/>
    </row>
    <row r="32" spans="1:26" s="26" customFormat="1" ht="13.5" x14ac:dyDescent="0.25">
      <c r="A32" s="37"/>
    </row>
    <row r="33" spans="1:1" s="26" customFormat="1" ht="13.5" x14ac:dyDescent="0.25">
      <c r="A33" s="37"/>
    </row>
    <row r="34" spans="1:1" s="26" customFormat="1" ht="13.5" x14ac:dyDescent="0.25">
      <c r="A34" s="37"/>
    </row>
    <row r="35" spans="1:1" s="26" customFormat="1" ht="13.5" x14ac:dyDescent="0.25">
      <c r="A35" s="37"/>
    </row>
    <row r="36" spans="1:1" s="26" customFormat="1" ht="13.5" x14ac:dyDescent="0.25">
      <c r="A36" s="37"/>
    </row>
    <row r="37" spans="1:1" s="21" customFormat="1" x14ac:dyDescent="0.25">
      <c r="A37" s="43"/>
    </row>
    <row r="38" spans="1:1" s="21" customFormat="1" x14ac:dyDescent="0.25">
      <c r="A38" s="43"/>
    </row>
    <row r="39" spans="1:1" s="21" customFormat="1" x14ac:dyDescent="0.25">
      <c r="A39" s="43"/>
    </row>
    <row r="40" spans="1:1" s="21" customFormat="1" x14ac:dyDescent="0.25">
      <c r="A40" s="43"/>
    </row>
    <row r="41" spans="1:1" s="21" customFormat="1" x14ac:dyDescent="0.25">
      <c r="A41" s="43"/>
    </row>
    <row r="42" spans="1:1" s="21" customFormat="1" x14ac:dyDescent="0.25">
      <c r="A42" s="43"/>
    </row>
    <row r="43" spans="1:1" s="21" customFormat="1" x14ac:dyDescent="0.25">
      <c r="A43" s="43"/>
    </row>
    <row r="44" spans="1:1" s="21" customFormat="1" x14ac:dyDescent="0.25">
      <c r="A44" s="43"/>
    </row>
    <row r="45" spans="1:1" s="21" customFormat="1" x14ac:dyDescent="0.25">
      <c r="A45" s="43"/>
    </row>
    <row r="46" spans="1:1" s="21" customFormat="1" x14ac:dyDescent="0.25">
      <c r="A46" s="43"/>
    </row>
    <row r="47" spans="1:1" s="21" customFormat="1" x14ac:dyDescent="0.25">
      <c r="A47" s="43"/>
    </row>
    <row r="48" spans="1:1" s="21" customFormat="1" x14ac:dyDescent="0.25">
      <c r="A48" s="43"/>
    </row>
    <row r="49" spans="1:1" s="21" customFormat="1" x14ac:dyDescent="0.25">
      <c r="A49" s="43"/>
    </row>
    <row r="50" spans="1:1" s="21" customFormat="1" x14ac:dyDescent="0.25">
      <c r="A50" s="43"/>
    </row>
    <row r="51" spans="1:1" s="21" customFormat="1" x14ac:dyDescent="0.25">
      <c r="A51" s="43"/>
    </row>
    <row r="52" spans="1:1" s="21" customFormat="1" x14ac:dyDescent="0.25">
      <c r="A52" s="43"/>
    </row>
    <row r="53" spans="1:1" s="21" customFormat="1" x14ac:dyDescent="0.25">
      <c r="A53" s="43"/>
    </row>
    <row r="54" spans="1:1" s="21" customFormat="1" x14ac:dyDescent="0.25">
      <c r="A54" s="43"/>
    </row>
    <row r="55" spans="1:1" s="21" customFormat="1" x14ac:dyDescent="0.25">
      <c r="A55" s="43"/>
    </row>
    <row r="56" spans="1:1" s="21" customFormat="1" x14ac:dyDescent="0.25">
      <c r="A56" s="43"/>
    </row>
    <row r="57" spans="1:1" s="21" customFormat="1" x14ac:dyDescent="0.25">
      <c r="A57" s="43"/>
    </row>
    <row r="58" spans="1:1" s="21" customFormat="1" x14ac:dyDescent="0.25">
      <c r="A58" s="43"/>
    </row>
    <row r="59" spans="1:1" s="21" customFormat="1" x14ac:dyDescent="0.25">
      <c r="A59" s="43"/>
    </row>
    <row r="60" spans="1:1" s="21" customFormat="1" x14ac:dyDescent="0.25">
      <c r="A60" s="43"/>
    </row>
    <row r="61" spans="1:1" s="21" customFormat="1" x14ac:dyDescent="0.25">
      <c r="A61" s="43"/>
    </row>
    <row r="62" spans="1:1" s="21" customFormat="1" x14ac:dyDescent="0.25">
      <c r="A62" s="43"/>
    </row>
    <row r="63" spans="1:1" s="21" customFormat="1" x14ac:dyDescent="0.25">
      <c r="A63" s="43"/>
    </row>
    <row r="64" spans="1:1" s="21" customFormat="1" x14ac:dyDescent="0.25">
      <c r="A64" s="43"/>
    </row>
    <row r="65" spans="1:1" s="21" customFormat="1" x14ac:dyDescent="0.25">
      <c r="A65" s="43"/>
    </row>
    <row r="66" spans="1:1" s="21" customFormat="1" x14ac:dyDescent="0.25">
      <c r="A66" s="43"/>
    </row>
    <row r="67" spans="1:1" s="21" customFormat="1" x14ac:dyDescent="0.25">
      <c r="A67" s="43"/>
    </row>
    <row r="68" spans="1:1" s="21" customFormat="1" x14ac:dyDescent="0.25">
      <c r="A68" s="43"/>
    </row>
    <row r="69" spans="1:1" s="21" customFormat="1" x14ac:dyDescent="0.25">
      <c r="A69" s="43"/>
    </row>
    <row r="70" spans="1:1" s="21" customFormat="1" x14ac:dyDescent="0.25">
      <c r="A70" s="43"/>
    </row>
    <row r="71" spans="1:1" s="21" customFormat="1" x14ac:dyDescent="0.25">
      <c r="A71" s="43"/>
    </row>
    <row r="72" spans="1:1" s="21" customFormat="1" x14ac:dyDescent="0.25">
      <c r="A72" s="43"/>
    </row>
    <row r="73" spans="1:1" s="21" customFormat="1" x14ac:dyDescent="0.25">
      <c r="A73" s="43"/>
    </row>
    <row r="74" spans="1:1" s="21" customFormat="1" x14ac:dyDescent="0.25">
      <c r="A74" s="43"/>
    </row>
    <row r="75" spans="1:1" s="21" customFormat="1" x14ac:dyDescent="0.25">
      <c r="A75" s="43"/>
    </row>
    <row r="76" spans="1:1" s="21" customFormat="1" x14ac:dyDescent="0.25">
      <c r="A76" s="43"/>
    </row>
    <row r="77" spans="1:1" s="21" customFormat="1" x14ac:dyDescent="0.25">
      <c r="A77" s="43"/>
    </row>
    <row r="78" spans="1:1" s="21" customFormat="1" x14ac:dyDescent="0.25">
      <c r="A78" s="43"/>
    </row>
    <row r="79" spans="1:1" s="21" customFormat="1" x14ac:dyDescent="0.25">
      <c r="A79" s="43"/>
    </row>
    <row r="80" spans="1:1" s="21" customFormat="1" x14ac:dyDescent="0.25">
      <c r="A80" s="43"/>
    </row>
    <row r="81" spans="1:1" s="21" customFormat="1" x14ac:dyDescent="0.25">
      <c r="A81" s="43"/>
    </row>
    <row r="82" spans="1:1" s="21" customFormat="1" x14ac:dyDescent="0.25">
      <c r="A82" s="43"/>
    </row>
    <row r="83" spans="1:1" s="21" customFormat="1" x14ac:dyDescent="0.25">
      <c r="A83" s="43"/>
    </row>
    <row r="84" spans="1:1" s="21" customFormat="1" x14ac:dyDescent="0.25">
      <c r="A84" s="43"/>
    </row>
    <row r="85" spans="1:1" s="21" customFormat="1" x14ac:dyDescent="0.25">
      <c r="A85" s="43"/>
    </row>
    <row r="86" spans="1:1" s="21" customFormat="1" x14ac:dyDescent="0.25">
      <c r="A86" s="43"/>
    </row>
    <row r="87" spans="1:1" s="21" customFormat="1" x14ac:dyDescent="0.25">
      <c r="A87" s="43"/>
    </row>
    <row r="88" spans="1:1" s="21" customFormat="1" x14ac:dyDescent="0.25">
      <c r="A88" s="43"/>
    </row>
    <row r="89" spans="1:1" s="21" customFormat="1" x14ac:dyDescent="0.25">
      <c r="A89" s="43"/>
    </row>
    <row r="90" spans="1:1" s="21" customFormat="1" x14ac:dyDescent="0.25">
      <c r="A90" s="43"/>
    </row>
    <row r="91" spans="1:1" s="21" customFormat="1" x14ac:dyDescent="0.25">
      <c r="A91" s="43"/>
    </row>
    <row r="92" spans="1:1" s="21" customFormat="1" x14ac:dyDescent="0.25">
      <c r="A92" s="43"/>
    </row>
    <row r="93" spans="1:1" s="21" customFormat="1" x14ac:dyDescent="0.25">
      <c r="A93" s="43"/>
    </row>
    <row r="94" spans="1:1" s="21" customFormat="1" x14ac:dyDescent="0.25">
      <c r="A94" s="43"/>
    </row>
    <row r="95" spans="1:1" s="21" customFormat="1" x14ac:dyDescent="0.25">
      <c r="A95" s="43"/>
    </row>
    <row r="96" spans="1:1" s="21" customFormat="1" x14ac:dyDescent="0.25">
      <c r="A96" s="43"/>
    </row>
    <row r="97" spans="1:1" s="21" customFormat="1" x14ac:dyDescent="0.25">
      <c r="A97" s="43"/>
    </row>
    <row r="98" spans="1:1" s="21" customFormat="1" x14ac:dyDescent="0.25">
      <c r="A98" s="43"/>
    </row>
    <row r="99" spans="1:1" s="21" customFormat="1" x14ac:dyDescent="0.25">
      <c r="A99" s="43"/>
    </row>
    <row r="100" spans="1:1" s="21" customFormat="1" x14ac:dyDescent="0.25">
      <c r="A100" s="43"/>
    </row>
    <row r="101" spans="1:1" s="21" customFormat="1" x14ac:dyDescent="0.25">
      <c r="A101" s="43"/>
    </row>
    <row r="102" spans="1:1" s="21" customFormat="1" x14ac:dyDescent="0.25">
      <c r="A102" s="43"/>
    </row>
    <row r="103" spans="1:1" s="21" customFormat="1" x14ac:dyDescent="0.25">
      <c r="A103" s="43"/>
    </row>
    <row r="104" spans="1:1" s="21" customFormat="1" x14ac:dyDescent="0.25">
      <c r="A104" s="43"/>
    </row>
    <row r="105" spans="1:1" s="21" customFormat="1" x14ac:dyDescent="0.25">
      <c r="A105" s="43"/>
    </row>
    <row r="106" spans="1:1" s="21" customFormat="1" x14ac:dyDescent="0.25">
      <c r="A106" s="43"/>
    </row>
    <row r="107" spans="1:1" s="21" customFormat="1" x14ac:dyDescent="0.25">
      <c r="A107" s="43"/>
    </row>
    <row r="108" spans="1:1" s="21" customFormat="1" x14ac:dyDescent="0.25">
      <c r="A108" s="43"/>
    </row>
    <row r="109" spans="1:1" s="21" customFormat="1" x14ac:dyDescent="0.25">
      <c r="A109" s="43"/>
    </row>
    <row r="110" spans="1:1" s="21" customFormat="1" x14ac:dyDescent="0.25">
      <c r="A110" s="43"/>
    </row>
    <row r="111" spans="1:1" s="21" customFormat="1" x14ac:dyDescent="0.25">
      <c r="A111" s="43"/>
    </row>
    <row r="112" spans="1:1" s="21" customFormat="1" x14ac:dyDescent="0.25">
      <c r="A112" s="43"/>
    </row>
    <row r="113" spans="1:1" s="21" customFormat="1" x14ac:dyDescent="0.25">
      <c r="A113" s="43"/>
    </row>
    <row r="114" spans="1:1" s="21" customFormat="1" x14ac:dyDescent="0.25">
      <c r="A114" s="43"/>
    </row>
    <row r="115" spans="1:1" s="21" customFormat="1" x14ac:dyDescent="0.25">
      <c r="A115" s="43"/>
    </row>
    <row r="116" spans="1:1" s="21" customFormat="1" x14ac:dyDescent="0.25">
      <c r="A116" s="43"/>
    </row>
    <row r="117" spans="1:1" s="21" customFormat="1" x14ac:dyDescent="0.25">
      <c r="A117" s="43"/>
    </row>
    <row r="118" spans="1:1" s="21" customFormat="1" x14ac:dyDescent="0.25">
      <c r="A118" s="43"/>
    </row>
    <row r="119" spans="1:1" s="21" customFormat="1" x14ac:dyDescent="0.25">
      <c r="A119" s="43"/>
    </row>
    <row r="120" spans="1:1" s="21" customFormat="1" x14ac:dyDescent="0.25">
      <c r="A120" s="43"/>
    </row>
    <row r="121" spans="1:1" s="21" customFormat="1" x14ac:dyDescent="0.25">
      <c r="A121" s="43"/>
    </row>
    <row r="122" spans="1:1" s="21" customFormat="1" x14ac:dyDescent="0.25">
      <c r="A122" s="43"/>
    </row>
    <row r="123" spans="1:1" s="21" customFormat="1" x14ac:dyDescent="0.25">
      <c r="A123" s="43"/>
    </row>
    <row r="124" spans="1:1" s="21" customFormat="1" x14ac:dyDescent="0.25">
      <c r="A124" s="43"/>
    </row>
    <row r="125" spans="1:1" s="21" customFormat="1" x14ac:dyDescent="0.25">
      <c r="A125" s="43"/>
    </row>
    <row r="126" spans="1:1" s="21" customFormat="1" x14ac:dyDescent="0.25">
      <c r="A126" s="43"/>
    </row>
    <row r="127" spans="1:1" s="21" customFormat="1" x14ac:dyDescent="0.25">
      <c r="A127" s="43"/>
    </row>
    <row r="128" spans="1:1" s="21" customFormat="1" x14ac:dyDescent="0.25">
      <c r="A128" s="43"/>
    </row>
    <row r="129" spans="1:1" s="21" customFormat="1" x14ac:dyDescent="0.25">
      <c r="A129" s="43"/>
    </row>
    <row r="130" spans="1:1" s="21" customFormat="1" x14ac:dyDescent="0.25">
      <c r="A130" s="43"/>
    </row>
    <row r="131" spans="1:1" s="21" customFormat="1" x14ac:dyDescent="0.25">
      <c r="A131" s="43"/>
    </row>
    <row r="132" spans="1:1" s="21" customFormat="1" x14ac:dyDescent="0.25">
      <c r="A132" s="43"/>
    </row>
    <row r="133" spans="1:1" s="21" customFormat="1" x14ac:dyDescent="0.25">
      <c r="A133" s="43"/>
    </row>
    <row r="134" spans="1:1" s="21" customFormat="1" x14ac:dyDescent="0.25">
      <c r="A134" s="43"/>
    </row>
    <row r="135" spans="1:1" s="21" customFormat="1" x14ac:dyDescent="0.25">
      <c r="A135" s="43"/>
    </row>
    <row r="136" spans="1:1" s="21" customFormat="1" x14ac:dyDescent="0.25">
      <c r="A136" s="43"/>
    </row>
    <row r="137" spans="1:1" s="21" customFormat="1" x14ac:dyDescent="0.25">
      <c r="A137" s="43"/>
    </row>
    <row r="138" spans="1:1" s="21" customFormat="1" x14ac:dyDescent="0.25">
      <c r="A138" s="43"/>
    </row>
    <row r="139" spans="1:1" s="21" customFormat="1" x14ac:dyDescent="0.25">
      <c r="A139" s="43"/>
    </row>
    <row r="140" spans="1:1" s="21" customFormat="1" x14ac:dyDescent="0.25">
      <c r="A140" s="43"/>
    </row>
    <row r="141" spans="1:1" s="21" customFormat="1" x14ac:dyDescent="0.25">
      <c r="A141" s="43"/>
    </row>
    <row r="142" spans="1:1" s="21" customFormat="1" x14ac:dyDescent="0.25">
      <c r="A142" s="43"/>
    </row>
    <row r="143" spans="1:1" s="21" customFormat="1" x14ac:dyDescent="0.25">
      <c r="A143" s="43"/>
    </row>
    <row r="144" spans="1:1" s="21" customFormat="1" x14ac:dyDescent="0.25">
      <c r="A144" s="43"/>
    </row>
    <row r="145" spans="1:1" s="21" customFormat="1" x14ac:dyDescent="0.25">
      <c r="A145" s="43"/>
    </row>
    <row r="146" spans="1:1" s="21" customFormat="1" x14ac:dyDescent="0.25">
      <c r="A146" s="43"/>
    </row>
    <row r="147" spans="1:1" s="21" customFormat="1" x14ac:dyDescent="0.25">
      <c r="A147" s="43"/>
    </row>
    <row r="148" spans="1:1" s="21" customFormat="1" x14ac:dyDescent="0.25">
      <c r="A148" s="43"/>
    </row>
    <row r="149" spans="1:1" s="21" customFormat="1" x14ac:dyDescent="0.25">
      <c r="A149" s="43"/>
    </row>
    <row r="150" spans="1:1" s="21" customFormat="1" x14ac:dyDescent="0.25">
      <c r="A150" s="43"/>
    </row>
    <row r="151" spans="1:1" s="21" customFormat="1" x14ac:dyDescent="0.25">
      <c r="A151" s="43"/>
    </row>
    <row r="152" spans="1:1" s="21" customFormat="1" x14ac:dyDescent="0.25">
      <c r="A152" s="43"/>
    </row>
    <row r="153" spans="1:1" s="21" customFormat="1" x14ac:dyDescent="0.25">
      <c r="A153" s="43"/>
    </row>
    <row r="154" spans="1:1" s="21" customFormat="1" x14ac:dyDescent="0.25">
      <c r="A154" s="43"/>
    </row>
    <row r="155" spans="1:1" s="21" customFormat="1" x14ac:dyDescent="0.25">
      <c r="A155" s="43"/>
    </row>
    <row r="156" spans="1:1" s="21" customFormat="1" x14ac:dyDescent="0.25">
      <c r="A156" s="43"/>
    </row>
    <row r="157" spans="1:1" s="21" customFormat="1" x14ac:dyDescent="0.25">
      <c r="A157" s="43"/>
    </row>
    <row r="158" spans="1:1" s="21" customFormat="1" x14ac:dyDescent="0.25">
      <c r="A158" s="43"/>
    </row>
    <row r="159" spans="1:1" s="21" customFormat="1" x14ac:dyDescent="0.25">
      <c r="A159" s="43"/>
    </row>
    <row r="160" spans="1:1" s="21" customFormat="1" x14ac:dyDescent="0.25">
      <c r="A160" s="43"/>
    </row>
    <row r="161" spans="1:1" s="21" customFormat="1" x14ac:dyDescent="0.25">
      <c r="A161" s="43"/>
    </row>
    <row r="162" spans="1:1" s="21" customFormat="1" x14ac:dyDescent="0.25">
      <c r="A162" s="43"/>
    </row>
    <row r="163" spans="1:1" s="21" customFormat="1" x14ac:dyDescent="0.25">
      <c r="A163" s="43"/>
    </row>
    <row r="164" spans="1:1" s="21" customFormat="1" x14ac:dyDescent="0.25">
      <c r="A164" s="43"/>
    </row>
    <row r="165" spans="1:1" s="21" customFormat="1" x14ac:dyDescent="0.25">
      <c r="A165" s="43"/>
    </row>
    <row r="166" spans="1:1" s="21" customFormat="1" x14ac:dyDescent="0.25">
      <c r="A166" s="43"/>
    </row>
    <row r="167" spans="1:1" s="21" customFormat="1" x14ac:dyDescent="0.25">
      <c r="A167" s="43"/>
    </row>
    <row r="168" spans="1:1" s="21" customFormat="1" x14ac:dyDescent="0.25">
      <c r="A168" s="43"/>
    </row>
    <row r="169" spans="1:1" s="21" customFormat="1" x14ac:dyDescent="0.25">
      <c r="A169" s="43"/>
    </row>
    <row r="170" spans="1:1" s="21" customFormat="1" x14ac:dyDescent="0.25">
      <c r="A170" s="43"/>
    </row>
    <row r="171" spans="1:1" s="21" customFormat="1" x14ac:dyDescent="0.25">
      <c r="A171" s="43"/>
    </row>
    <row r="172" spans="1:1" s="21" customFormat="1" x14ac:dyDescent="0.25">
      <c r="A172" s="43"/>
    </row>
    <row r="173" spans="1:1" s="21" customFormat="1" x14ac:dyDescent="0.25">
      <c r="A173" s="43"/>
    </row>
    <row r="174" spans="1:1" s="21" customFormat="1" x14ac:dyDescent="0.25">
      <c r="A174" s="43"/>
    </row>
    <row r="175" spans="1:1" s="21" customFormat="1" x14ac:dyDescent="0.25">
      <c r="A175" s="43"/>
    </row>
    <row r="176" spans="1:1" s="21" customFormat="1" x14ac:dyDescent="0.25">
      <c r="A176" s="43"/>
    </row>
    <row r="177" spans="1:1" s="21" customFormat="1" x14ac:dyDescent="0.25">
      <c r="A177" s="43"/>
    </row>
    <row r="178" spans="1:1" s="21" customFormat="1" x14ac:dyDescent="0.25">
      <c r="A178" s="43"/>
    </row>
    <row r="179" spans="1:1" s="21" customFormat="1" x14ac:dyDescent="0.25">
      <c r="A179" s="43"/>
    </row>
    <row r="180" spans="1:1" s="21" customFormat="1" x14ac:dyDescent="0.25">
      <c r="A180" s="43"/>
    </row>
    <row r="181" spans="1:1" s="21" customFormat="1" x14ac:dyDescent="0.25">
      <c r="A181" s="43"/>
    </row>
    <row r="182" spans="1:1" s="21" customFormat="1" x14ac:dyDescent="0.25">
      <c r="A182" s="43"/>
    </row>
    <row r="183" spans="1:1" s="21" customFormat="1" x14ac:dyDescent="0.25">
      <c r="A183" s="43"/>
    </row>
    <row r="184" spans="1:1" s="21" customFormat="1" x14ac:dyDescent="0.25">
      <c r="A184" s="43"/>
    </row>
    <row r="185" spans="1:1" s="21" customFormat="1" x14ac:dyDescent="0.25">
      <c r="A185" s="43"/>
    </row>
    <row r="186" spans="1:1" s="21" customFormat="1" x14ac:dyDescent="0.25">
      <c r="A186" s="43"/>
    </row>
    <row r="187" spans="1:1" s="21" customFormat="1" x14ac:dyDescent="0.25">
      <c r="A187" s="43"/>
    </row>
    <row r="188" spans="1:1" s="21" customFormat="1" x14ac:dyDescent="0.25">
      <c r="A188" s="43"/>
    </row>
    <row r="189" spans="1:1" s="21" customFormat="1" x14ac:dyDescent="0.25">
      <c r="A189" s="43"/>
    </row>
    <row r="190" spans="1:1" s="21" customFormat="1" x14ac:dyDescent="0.25">
      <c r="A190" s="43"/>
    </row>
    <row r="191" spans="1:1" s="21" customFormat="1" x14ac:dyDescent="0.25">
      <c r="A191" s="43"/>
    </row>
    <row r="192" spans="1:1" s="21" customFormat="1" x14ac:dyDescent="0.25">
      <c r="A192" s="43"/>
    </row>
    <row r="193" spans="1:1" s="21" customFormat="1" x14ac:dyDescent="0.25">
      <c r="A193" s="43"/>
    </row>
    <row r="194" spans="1:1" s="21" customFormat="1" x14ac:dyDescent="0.25">
      <c r="A194" s="43"/>
    </row>
    <row r="195" spans="1:1" s="21" customFormat="1" x14ac:dyDescent="0.25">
      <c r="A195" s="43"/>
    </row>
    <row r="196" spans="1:1" s="21" customFormat="1" x14ac:dyDescent="0.25">
      <c r="A196" s="43"/>
    </row>
    <row r="197" spans="1:1" s="21" customFormat="1" x14ac:dyDescent="0.25">
      <c r="A197" s="43"/>
    </row>
    <row r="198" spans="1:1" s="21" customFormat="1" x14ac:dyDescent="0.25">
      <c r="A198" s="43"/>
    </row>
    <row r="199" spans="1:1" s="21" customFormat="1" x14ac:dyDescent="0.25">
      <c r="A199" s="43"/>
    </row>
    <row r="200" spans="1:1" s="21" customFormat="1" x14ac:dyDescent="0.25">
      <c r="A200" s="43"/>
    </row>
    <row r="201" spans="1:1" s="21" customFormat="1" x14ac:dyDescent="0.25">
      <c r="A201" s="43"/>
    </row>
    <row r="202" spans="1:1" s="21" customFormat="1" x14ac:dyDescent="0.25">
      <c r="A202" s="43"/>
    </row>
    <row r="203" spans="1:1" s="21" customFormat="1" x14ac:dyDescent="0.25">
      <c r="A203" s="43"/>
    </row>
    <row r="204" spans="1:1" s="21" customFormat="1" x14ac:dyDescent="0.25">
      <c r="A204" s="43"/>
    </row>
    <row r="205" spans="1:1" s="21" customFormat="1" x14ac:dyDescent="0.25">
      <c r="A205" s="43"/>
    </row>
    <row r="206" spans="1:1" s="21" customFormat="1" x14ac:dyDescent="0.25">
      <c r="A206" s="43"/>
    </row>
    <row r="207" spans="1:1" s="21" customFormat="1" x14ac:dyDescent="0.25">
      <c r="A207" s="43"/>
    </row>
    <row r="208" spans="1:1" s="21" customFormat="1" x14ac:dyDescent="0.25">
      <c r="A208" s="43"/>
    </row>
    <row r="209" spans="1:1" s="21" customFormat="1" x14ac:dyDescent="0.25">
      <c r="A209" s="43"/>
    </row>
    <row r="210" spans="1:1" s="21" customFormat="1" x14ac:dyDescent="0.25">
      <c r="A210" s="43"/>
    </row>
    <row r="211" spans="1:1" s="21" customFormat="1" x14ac:dyDescent="0.25">
      <c r="A211" s="43"/>
    </row>
    <row r="212" spans="1:1" s="21" customFormat="1" x14ac:dyDescent="0.25">
      <c r="A212" s="43"/>
    </row>
    <row r="213" spans="1:1" s="21" customFormat="1" x14ac:dyDescent="0.25">
      <c r="A213" s="43"/>
    </row>
    <row r="214" spans="1:1" s="21" customFormat="1" x14ac:dyDescent="0.25">
      <c r="A214" s="43"/>
    </row>
    <row r="215" spans="1:1" s="21" customFormat="1" x14ac:dyDescent="0.25">
      <c r="A215" s="43"/>
    </row>
    <row r="216" spans="1:1" s="21" customFormat="1" x14ac:dyDescent="0.25">
      <c r="A216" s="43"/>
    </row>
    <row r="217" spans="1:1" s="21" customFormat="1" x14ac:dyDescent="0.25">
      <c r="A217" s="43"/>
    </row>
    <row r="218" spans="1:1" s="21" customFormat="1" x14ac:dyDescent="0.25">
      <c r="A218" s="43"/>
    </row>
    <row r="219" spans="1:1" s="21" customFormat="1" x14ac:dyDescent="0.25">
      <c r="A219" s="43"/>
    </row>
    <row r="220" spans="1:1" s="21" customFormat="1" x14ac:dyDescent="0.25">
      <c r="A220" s="43"/>
    </row>
    <row r="221" spans="1:1" s="21" customFormat="1" x14ac:dyDescent="0.25">
      <c r="A221" s="43"/>
    </row>
    <row r="222" spans="1:1" s="21" customFormat="1" x14ac:dyDescent="0.25">
      <c r="A222" s="43"/>
    </row>
    <row r="223" spans="1:1" s="21" customFormat="1" x14ac:dyDescent="0.25">
      <c r="A223" s="43"/>
    </row>
    <row r="224" spans="1:1" s="21" customFormat="1" x14ac:dyDescent="0.25">
      <c r="A224" s="43"/>
    </row>
    <row r="225" spans="1:1" s="21" customFormat="1" x14ac:dyDescent="0.25">
      <c r="A225" s="43"/>
    </row>
    <row r="226" spans="1:1" s="21" customFormat="1" x14ac:dyDescent="0.25">
      <c r="A226" s="43"/>
    </row>
    <row r="227" spans="1:1" s="21" customFormat="1" x14ac:dyDescent="0.25">
      <c r="A227" s="43"/>
    </row>
    <row r="228" spans="1:1" s="21" customFormat="1" x14ac:dyDescent="0.25">
      <c r="A228" s="43"/>
    </row>
    <row r="229" spans="1:1" s="21" customFormat="1" x14ac:dyDescent="0.25">
      <c r="A229" s="43"/>
    </row>
    <row r="230" spans="1:1" s="21" customFormat="1" x14ac:dyDescent="0.25">
      <c r="A230" s="43"/>
    </row>
    <row r="231" spans="1:1" s="21" customFormat="1" x14ac:dyDescent="0.25">
      <c r="A231" s="43"/>
    </row>
    <row r="232" spans="1:1" s="21" customFormat="1" x14ac:dyDescent="0.25">
      <c r="A232" s="43"/>
    </row>
    <row r="233" spans="1:1" s="21" customFormat="1" x14ac:dyDescent="0.25">
      <c r="A233" s="43"/>
    </row>
    <row r="234" spans="1:1" s="21" customFormat="1" x14ac:dyDescent="0.25">
      <c r="A234" s="43"/>
    </row>
    <row r="235" spans="1:1" s="21" customFormat="1" x14ac:dyDescent="0.25">
      <c r="A235" s="43"/>
    </row>
    <row r="236" spans="1:1" s="21" customFormat="1" x14ac:dyDescent="0.25">
      <c r="A236" s="43"/>
    </row>
    <row r="237" spans="1:1" s="21" customFormat="1" x14ac:dyDescent="0.25">
      <c r="A237" s="43"/>
    </row>
    <row r="238" spans="1:1" s="21" customFormat="1" x14ac:dyDescent="0.25">
      <c r="A238" s="43"/>
    </row>
    <row r="239" spans="1:1" s="21" customFormat="1" x14ac:dyDescent="0.25">
      <c r="A239" s="43"/>
    </row>
    <row r="240" spans="1:1" s="21" customFormat="1" x14ac:dyDescent="0.25">
      <c r="A240" s="43"/>
    </row>
    <row r="241" spans="1:1" s="21" customFormat="1" x14ac:dyDescent="0.25">
      <c r="A241" s="43"/>
    </row>
    <row r="242" spans="1:1" s="21" customFormat="1" x14ac:dyDescent="0.25">
      <c r="A242" s="43"/>
    </row>
    <row r="243" spans="1:1" s="21" customFormat="1" x14ac:dyDescent="0.25">
      <c r="A243" s="43"/>
    </row>
    <row r="244" spans="1:1" s="21" customFormat="1" x14ac:dyDescent="0.25">
      <c r="A244" s="43"/>
    </row>
    <row r="245" spans="1:1" s="21" customFormat="1" x14ac:dyDescent="0.25">
      <c r="A245" s="43"/>
    </row>
    <row r="246" spans="1:1" s="21" customFormat="1" x14ac:dyDescent="0.25">
      <c r="A246" s="43"/>
    </row>
    <row r="247" spans="1:1" s="21" customFormat="1" x14ac:dyDescent="0.25">
      <c r="A247" s="43"/>
    </row>
    <row r="248" spans="1:1" s="21" customFormat="1" x14ac:dyDescent="0.25">
      <c r="A248" s="43"/>
    </row>
    <row r="249" spans="1:1" s="21" customFormat="1" x14ac:dyDescent="0.25">
      <c r="A249" s="43"/>
    </row>
    <row r="250" spans="1:1" s="21" customFormat="1" x14ac:dyDescent="0.25">
      <c r="A250" s="43"/>
    </row>
    <row r="251" spans="1:1" s="21" customFormat="1" x14ac:dyDescent="0.25">
      <c r="A251" s="43"/>
    </row>
    <row r="252" spans="1:1" s="21" customFormat="1" x14ac:dyDescent="0.25">
      <c r="A252" s="43"/>
    </row>
    <row r="253" spans="1:1" s="21" customFormat="1" x14ac:dyDescent="0.25">
      <c r="A253" s="43"/>
    </row>
    <row r="254" spans="1:1" s="21" customFormat="1" x14ac:dyDescent="0.25">
      <c r="A254" s="43"/>
    </row>
    <row r="255" spans="1:1" s="21" customFormat="1" x14ac:dyDescent="0.25">
      <c r="A255" s="43"/>
    </row>
    <row r="256" spans="1:1" s="21" customFormat="1" x14ac:dyDescent="0.25">
      <c r="A256" s="43"/>
    </row>
    <row r="257" spans="1:1" s="21" customFormat="1" x14ac:dyDescent="0.25">
      <c r="A257" s="43"/>
    </row>
    <row r="258" spans="1:1" s="21" customFormat="1" x14ac:dyDescent="0.25">
      <c r="A258" s="43"/>
    </row>
    <row r="259" spans="1:1" s="21" customFormat="1" x14ac:dyDescent="0.25">
      <c r="A259" s="43"/>
    </row>
    <row r="260" spans="1:1" s="21" customFormat="1" x14ac:dyDescent="0.25">
      <c r="A260" s="43"/>
    </row>
    <row r="261" spans="1:1" s="21" customFormat="1" x14ac:dyDescent="0.25">
      <c r="A261" s="43"/>
    </row>
    <row r="262" spans="1:1" s="21" customFormat="1" x14ac:dyDescent="0.25">
      <c r="A262" s="43"/>
    </row>
    <row r="263" spans="1:1" s="21" customFormat="1" x14ac:dyDescent="0.25">
      <c r="A263" s="43"/>
    </row>
    <row r="264" spans="1:1" s="21" customFormat="1" x14ac:dyDescent="0.25">
      <c r="A264" s="43"/>
    </row>
    <row r="265" spans="1:1" s="21" customFormat="1" x14ac:dyDescent="0.25">
      <c r="A265" s="43"/>
    </row>
    <row r="266" spans="1:1" s="21" customFormat="1" x14ac:dyDescent="0.25">
      <c r="A266" s="43"/>
    </row>
    <row r="267" spans="1:1" s="21" customFormat="1" x14ac:dyDescent="0.25">
      <c r="A267" s="43"/>
    </row>
    <row r="268" spans="1:1" s="21" customFormat="1" x14ac:dyDescent="0.25">
      <c r="A268" s="43"/>
    </row>
    <row r="269" spans="1:1" s="21" customFormat="1" x14ac:dyDescent="0.25">
      <c r="A269" s="43"/>
    </row>
    <row r="270" spans="1:1" s="21" customFormat="1" x14ac:dyDescent="0.25">
      <c r="A270" s="43"/>
    </row>
    <row r="271" spans="1:1" s="21" customFormat="1" x14ac:dyDescent="0.25">
      <c r="A271" s="43"/>
    </row>
    <row r="272" spans="1:1" s="21" customFormat="1" x14ac:dyDescent="0.25">
      <c r="A272" s="43"/>
    </row>
    <row r="273" spans="1:1" s="21" customFormat="1" x14ac:dyDescent="0.25">
      <c r="A273" s="43"/>
    </row>
    <row r="274" spans="1:1" s="21" customFormat="1" x14ac:dyDescent="0.25">
      <c r="A274" s="43"/>
    </row>
    <row r="275" spans="1:1" s="21" customFormat="1" x14ac:dyDescent="0.25">
      <c r="A275" s="43"/>
    </row>
    <row r="276" spans="1:1" s="21" customFormat="1" x14ac:dyDescent="0.25">
      <c r="A276" s="43"/>
    </row>
    <row r="277" spans="1:1" s="21" customFormat="1" x14ac:dyDescent="0.25">
      <c r="A277" s="43"/>
    </row>
    <row r="278" spans="1:1" s="21" customFormat="1" x14ac:dyDescent="0.25">
      <c r="A278" s="43"/>
    </row>
    <row r="279" spans="1:1" s="21" customFormat="1" x14ac:dyDescent="0.25">
      <c r="A279" s="43"/>
    </row>
    <row r="280" spans="1:1" s="21" customFormat="1" x14ac:dyDescent="0.25">
      <c r="A280" s="43"/>
    </row>
    <row r="281" spans="1:1" s="21" customFormat="1" x14ac:dyDescent="0.25">
      <c r="A281" s="43"/>
    </row>
    <row r="282" spans="1:1" s="21" customFormat="1" x14ac:dyDescent="0.25">
      <c r="A282" s="43"/>
    </row>
    <row r="283" spans="1:1" s="21" customFormat="1" x14ac:dyDescent="0.25">
      <c r="A283" s="43"/>
    </row>
    <row r="284" spans="1:1" s="21" customFormat="1" x14ac:dyDescent="0.25">
      <c r="A284" s="43"/>
    </row>
    <row r="285" spans="1:1" s="21" customFormat="1" x14ac:dyDescent="0.25">
      <c r="A285" s="4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322"/>
  <sheetViews>
    <sheetView tabSelected="1" workbookViewId="0">
      <pane xSplit="1" ySplit="3" topLeftCell="J52" activePane="bottomRight" state="frozen"/>
      <selection pane="topRight" activeCell="B1" sqref="B1"/>
      <selection pane="bottomLeft" activeCell="A4" sqref="A4"/>
      <selection pane="bottomRight" activeCell="S59" sqref="S59"/>
    </sheetView>
  </sheetViews>
  <sheetFormatPr defaultRowHeight="15" x14ac:dyDescent="0.25"/>
  <cols>
    <col min="1" max="1" width="53.140625" style="23" customWidth="1"/>
    <col min="2" max="2" width="12" style="23" customWidth="1"/>
    <col min="3" max="11" width="9.140625" style="23" customWidth="1"/>
    <col min="12" max="12" width="7.85546875" style="23" customWidth="1"/>
    <col min="13" max="13" width="8" style="23" customWidth="1"/>
    <col min="14" max="14" width="10.28515625" style="23" customWidth="1"/>
    <col min="15" max="15" width="10.85546875" style="23" customWidth="1"/>
    <col min="16" max="16" width="9" style="23" customWidth="1"/>
    <col min="17" max="18" width="7.85546875" style="23" customWidth="1"/>
    <col min="19" max="19" width="8.42578125" style="23" customWidth="1"/>
    <col min="20" max="20" width="10.140625" style="23" customWidth="1"/>
    <col min="21" max="21" width="10" style="23" customWidth="1"/>
    <col min="22" max="26" width="9.85546875" style="23" customWidth="1"/>
    <col min="27" max="35" width="9.140625" style="23"/>
    <col min="36" max="74" width="9.140625" style="21"/>
    <col min="75" max="16384" width="9.140625" style="23"/>
  </cols>
  <sheetData>
    <row r="1" spans="1:74" s="27" customFormat="1" ht="24" x14ac:dyDescent="0.4">
      <c r="A1" s="22" t="s">
        <v>212</v>
      </c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</row>
    <row r="2" spans="1:74" s="27" customFormat="1" ht="24" x14ac:dyDescent="0.4">
      <c r="A2" s="22" t="s">
        <v>213</v>
      </c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</row>
    <row r="3" spans="1:74" s="46" customFormat="1" ht="12" x14ac:dyDescent="0.2">
      <c r="B3" s="47">
        <v>2000</v>
      </c>
      <c r="C3" s="47">
        <v>2001</v>
      </c>
      <c r="D3" s="47">
        <v>2002</v>
      </c>
      <c r="E3" s="47">
        <v>2003</v>
      </c>
      <c r="F3" s="47">
        <v>2004</v>
      </c>
      <c r="G3" s="47">
        <v>2005</v>
      </c>
      <c r="H3" s="47">
        <v>2006</v>
      </c>
      <c r="I3" s="47">
        <v>2007</v>
      </c>
      <c r="J3" s="47">
        <v>2008</v>
      </c>
      <c r="K3" s="47">
        <v>2009</v>
      </c>
      <c r="L3" s="47">
        <v>2010</v>
      </c>
      <c r="M3" s="47">
        <v>2011</v>
      </c>
      <c r="N3" s="47">
        <v>2012</v>
      </c>
      <c r="O3" s="47">
        <v>2013</v>
      </c>
      <c r="P3" s="47">
        <v>2014</v>
      </c>
      <c r="Q3" s="47">
        <v>2015</v>
      </c>
      <c r="R3" s="47">
        <v>2016</v>
      </c>
      <c r="S3" s="48">
        <v>2017</v>
      </c>
      <c r="T3" s="48">
        <v>2018</v>
      </c>
      <c r="U3" s="48">
        <v>2019</v>
      </c>
      <c r="V3" s="48">
        <v>2020</v>
      </c>
      <c r="W3" s="48">
        <v>2021</v>
      </c>
      <c r="X3" s="48">
        <v>2022</v>
      </c>
      <c r="Y3" s="48">
        <v>2023</v>
      </c>
      <c r="Z3" s="48">
        <v>2024</v>
      </c>
      <c r="AA3" s="47">
        <v>2025</v>
      </c>
      <c r="AB3" s="47">
        <v>2026</v>
      </c>
      <c r="AC3" s="47">
        <v>2027</v>
      </c>
      <c r="AD3" s="47">
        <v>2028</v>
      </c>
      <c r="AE3" s="47">
        <v>2029</v>
      </c>
      <c r="AF3" s="47">
        <v>2030</v>
      </c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</row>
    <row r="4" spans="1:74" s="33" customFormat="1" ht="13.5" x14ac:dyDescent="0.25">
      <c r="A4" s="50" t="s">
        <v>34</v>
      </c>
      <c r="S4" s="51"/>
      <c r="T4" s="51"/>
      <c r="U4" s="51"/>
      <c r="V4" s="51"/>
      <c r="W4" s="51"/>
      <c r="X4" s="51"/>
      <c r="Y4" s="51"/>
      <c r="Z4" s="51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</row>
    <row r="5" spans="1:74" s="33" customFormat="1" ht="13.5" x14ac:dyDescent="0.25">
      <c r="A5" s="50"/>
      <c r="S5" s="51"/>
      <c r="T5" s="51"/>
      <c r="U5" s="51"/>
      <c r="V5" s="51"/>
      <c r="W5" s="51"/>
      <c r="X5" s="51"/>
      <c r="Y5" s="51"/>
      <c r="Z5" s="51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</row>
    <row r="6" spans="1:74" s="33" customFormat="1" ht="13.5" x14ac:dyDescent="0.25">
      <c r="A6" s="53" t="s">
        <v>35</v>
      </c>
      <c r="B6" s="54">
        <f t="shared" ref="B6:W6" si="0">(B57-B58-B72)/B65*100</f>
        <v>4.8523712862151687</v>
      </c>
      <c r="C6" s="54">
        <f t="shared" si="0"/>
        <v>0.95359916037356818</v>
      </c>
      <c r="D6" s="54">
        <f t="shared" si="0"/>
        <v>-0.52588996763754048</v>
      </c>
      <c r="E6" s="54">
        <f t="shared" si="0"/>
        <v>0.3400752974800077</v>
      </c>
      <c r="F6" s="54">
        <f t="shared" si="0"/>
        <v>1.2936859161153558</v>
      </c>
      <c r="G6" s="54">
        <f t="shared" si="0"/>
        <v>1.5653369528812424</v>
      </c>
      <c r="H6" s="54">
        <f t="shared" si="0"/>
        <v>2.7692790036433617</v>
      </c>
      <c r="I6" s="54">
        <f t="shared" si="0"/>
        <v>0.26318191499072019</v>
      </c>
      <c r="J6" s="54">
        <f t="shared" si="0"/>
        <v>-7.0176653228168657</v>
      </c>
      <c r="K6" s="54">
        <f t="shared" si="0"/>
        <v>-11.473183579167671</v>
      </c>
      <c r="L6" s="54">
        <f t="shared" si="0"/>
        <v>-10.960341497150216</v>
      </c>
      <c r="M6" s="54">
        <f t="shared" si="0"/>
        <v>-8.8943785233013521</v>
      </c>
      <c r="N6" s="54">
        <f t="shared" si="0"/>
        <v>-8.0917791635258922</v>
      </c>
      <c r="O6" s="54">
        <f t="shared" si="0"/>
        <v>-6.5734911861784138</v>
      </c>
      <c r="P6" s="54">
        <f t="shared" si="0"/>
        <v>-3.5556262768327365</v>
      </c>
      <c r="Q6" s="54">
        <f t="shared" si="0"/>
        <v>-1.1459748205134057</v>
      </c>
      <c r="R6" s="54">
        <f t="shared" si="0"/>
        <v>-0.8333210641775004</v>
      </c>
      <c r="S6" s="54">
        <f t="shared" si="0"/>
        <v>-0.24534632872369425</v>
      </c>
      <c r="T6" s="54">
        <f t="shared" si="0"/>
        <v>2.5305674025885853E-2</v>
      </c>
      <c r="U6" s="54">
        <f t="shared" si="0"/>
        <v>0.19522140035076069</v>
      </c>
      <c r="V6" s="54">
        <f t="shared" si="0"/>
        <v>-0.38849113305790145</v>
      </c>
      <c r="W6" s="54">
        <f t="shared" si="0"/>
        <v>-0.19988213967942459</v>
      </c>
      <c r="X6" s="54">
        <f>(X57-X58-X72)/X65*100</f>
        <v>5.1216405810677261E-2</v>
      </c>
      <c r="Y6" s="54">
        <f>(Y57-Y58-Y72)/Y65*100</f>
        <v>0.37582244017178679</v>
      </c>
      <c r="Z6" s="54">
        <f>(Z57-Z58-Z72)/Z65*100</f>
        <v>0.74536644009177722</v>
      </c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</row>
    <row r="7" spans="1:74" s="33" customFormat="1" ht="13.5" x14ac:dyDescent="0.25">
      <c r="A7" s="53" t="s">
        <v>36</v>
      </c>
      <c r="B7" s="54">
        <f>B63/B65*100</f>
        <v>36.073076213323489</v>
      </c>
      <c r="C7" s="54">
        <f t="shared" ref="C7:W7" si="1">C63/C65*100</f>
        <v>33.23903934928952</v>
      </c>
      <c r="D7" s="54">
        <f t="shared" si="1"/>
        <v>30.551632833186233</v>
      </c>
      <c r="E7" s="54">
        <f t="shared" si="1"/>
        <v>29.926626178240678</v>
      </c>
      <c r="F7" s="54">
        <f t="shared" si="1"/>
        <v>28.215161742761442</v>
      </c>
      <c r="G7" s="54">
        <f t="shared" si="1"/>
        <v>26.076609846815561</v>
      </c>
      <c r="H7" s="54">
        <f t="shared" si="1"/>
        <v>23.618063288539087</v>
      </c>
      <c r="I7" s="54">
        <f t="shared" si="1"/>
        <v>23.908479630024036</v>
      </c>
      <c r="J7" s="54">
        <f t="shared" si="1"/>
        <v>42.403698161038292</v>
      </c>
      <c r="K7" s="54">
        <f t="shared" si="1"/>
        <v>61.543435958636337</v>
      </c>
      <c r="L7" s="54">
        <f t="shared" si="1"/>
        <v>85.988362387618338</v>
      </c>
      <c r="M7" s="54">
        <f t="shared" si="1"/>
        <v>111.06382480521229</v>
      </c>
      <c r="N7" s="54">
        <f t="shared" si="1"/>
        <v>119.94106763516754</v>
      </c>
      <c r="O7" s="54">
        <f t="shared" si="1"/>
        <v>119.86574715714595</v>
      </c>
      <c r="P7" s="54">
        <f t="shared" si="1"/>
        <v>104.39384451128745</v>
      </c>
      <c r="Q7" s="54">
        <f t="shared" si="1"/>
        <v>76.723242515209279</v>
      </c>
      <c r="R7" s="54">
        <f t="shared" si="1"/>
        <v>73.875899942580347</v>
      </c>
      <c r="S7" s="54">
        <f t="shared" si="1"/>
        <v>67.769098478448896</v>
      </c>
      <c r="T7" s="54">
        <f t="shared" si="1"/>
        <v>63.566001518340443</v>
      </c>
      <c r="U7" s="54">
        <f t="shared" si="1"/>
        <v>59.32399568867892</v>
      </c>
      <c r="V7" s="54">
        <f t="shared" si="1"/>
        <v>56.494864404390796</v>
      </c>
      <c r="W7" s="54">
        <f t="shared" si="1"/>
        <v>56.350334720582985</v>
      </c>
      <c r="X7" s="54">
        <f>X63/X65*100</f>
        <v>54.394449453288516</v>
      </c>
      <c r="Y7" s="54">
        <f>Y63/Y65*100</f>
        <v>53.775398821895934</v>
      </c>
      <c r="Z7" s="54">
        <f>Z63/Z65*100</f>
        <v>52.963436474814088</v>
      </c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</row>
    <row r="8" spans="1:74" s="33" customFormat="1" ht="13.5" x14ac:dyDescent="0.25">
      <c r="A8" s="53" t="s">
        <v>37</v>
      </c>
      <c r="B8" s="55">
        <f t="shared" ref="B8:Z8" si="2">IF(A7&lt;60, 60,B154)</f>
        <v>0</v>
      </c>
      <c r="C8" s="55">
        <f t="shared" si="2"/>
        <v>60</v>
      </c>
      <c r="D8" s="55">
        <f t="shared" si="2"/>
        <v>60</v>
      </c>
      <c r="E8" s="55">
        <f t="shared" si="2"/>
        <v>60</v>
      </c>
      <c r="F8" s="55">
        <f t="shared" si="2"/>
        <v>60</v>
      </c>
      <c r="G8" s="55">
        <f t="shared" si="2"/>
        <v>60</v>
      </c>
      <c r="H8" s="55">
        <f t="shared" si="2"/>
        <v>60</v>
      </c>
      <c r="I8" s="55">
        <f t="shared" si="2"/>
        <v>60</v>
      </c>
      <c r="J8" s="55">
        <f t="shared" si="2"/>
        <v>60</v>
      </c>
      <c r="K8" s="55">
        <f t="shared" si="2"/>
        <v>60</v>
      </c>
      <c r="L8" s="55">
        <f t="shared" si="2"/>
        <v>60.488754720234837</v>
      </c>
      <c r="M8" s="55">
        <f t="shared" si="2"/>
        <v>68.693965073635567</v>
      </c>
      <c r="N8" s="55">
        <f t="shared" si="2"/>
        <v>84.429478008271019</v>
      </c>
      <c r="O8" s="55">
        <f t="shared" si="2"/>
        <v>101.77029611406584</v>
      </c>
      <c r="P8" s="55">
        <f t="shared" si="2"/>
        <v>111.58337337746542</v>
      </c>
      <c r="Q8" s="55">
        <f t="shared" si="2"/>
        <v>109.19832065291635</v>
      </c>
      <c r="R8" s="55">
        <f t="shared" si="2"/>
        <v>95.759973343247907</v>
      </c>
      <c r="S8" s="55">
        <f t="shared" si="2"/>
        <v>82.112334584430926</v>
      </c>
      <c r="T8" s="55">
        <f t="shared" si="2"/>
        <v>71.413911101394262</v>
      </c>
      <c r="U8" s="55">
        <f t="shared" si="2"/>
        <v>67.43205417749779</v>
      </c>
      <c r="V8" s="55">
        <f t="shared" si="2"/>
        <v>60</v>
      </c>
      <c r="W8" s="55">
        <f t="shared" si="2"/>
        <v>60</v>
      </c>
      <c r="X8" s="55">
        <f t="shared" si="2"/>
        <v>60</v>
      </c>
      <c r="Y8" s="55">
        <f t="shared" si="2"/>
        <v>60</v>
      </c>
      <c r="Z8" s="55">
        <f t="shared" si="2"/>
        <v>60</v>
      </c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</row>
    <row r="9" spans="1:74" s="33" customFormat="1" ht="13.5" x14ac:dyDescent="0.25">
      <c r="A9" s="53" t="s">
        <v>38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 t="str">
        <f>N163</f>
        <v>Y</v>
      </c>
      <c r="O9" s="55" t="str">
        <f>O163</f>
        <v>Y</v>
      </c>
      <c r="P9" s="55" t="str">
        <f>P163</f>
        <v>Y</v>
      </c>
      <c r="Q9" s="55" t="str">
        <f>Q163</f>
        <v>Y</v>
      </c>
      <c r="R9" s="55" t="str">
        <f t="shared" ref="R9:W9" si="3">R163</f>
        <v>Y</v>
      </c>
      <c r="S9" s="55" t="str">
        <f t="shared" si="3"/>
        <v>Y</v>
      </c>
      <c r="T9" s="55" t="str">
        <f t="shared" si="3"/>
        <v>Y</v>
      </c>
      <c r="U9" s="55" t="str">
        <f t="shared" si="3"/>
        <v>Y</v>
      </c>
      <c r="V9" s="55" t="str">
        <f t="shared" si="3"/>
        <v>Y</v>
      </c>
      <c r="W9" s="55" t="str">
        <f t="shared" si="3"/>
        <v>Y</v>
      </c>
      <c r="X9" s="55" t="str">
        <f>X163</f>
        <v>Y</v>
      </c>
      <c r="Y9" s="55" t="str">
        <f>Y163</f>
        <v>Y</v>
      </c>
      <c r="Z9" s="55" t="str">
        <f>Z163</f>
        <v>Y</v>
      </c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</row>
    <row r="10" spans="1:74" s="33" customFormat="1" ht="13.5" x14ac:dyDescent="0.25">
      <c r="A10" s="53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</row>
    <row r="11" spans="1:74" s="33" customFormat="1" ht="13.5" x14ac:dyDescent="0.25">
      <c r="A11" s="50" t="s">
        <v>39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</row>
    <row r="12" spans="1:74" s="33" customFormat="1" ht="13.5" x14ac:dyDescent="0.25">
      <c r="A12" s="50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6"/>
      <c r="U12" s="56"/>
      <c r="V12" s="54"/>
      <c r="W12" s="54"/>
      <c r="X12" s="51"/>
      <c r="Y12" s="51"/>
      <c r="Z12" s="51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</row>
    <row r="13" spans="1:74" s="33" customFormat="1" ht="13.5" x14ac:dyDescent="0.25">
      <c r="A13" s="57" t="s">
        <v>40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</row>
    <row r="14" spans="1:74" s="36" customFormat="1" ht="13.5" x14ac:dyDescent="0.25">
      <c r="A14" s="58" t="s">
        <v>41</v>
      </c>
      <c r="B14" s="59">
        <f>'Forecast Estimates'!B24</f>
        <v>0</v>
      </c>
      <c r="C14" s="59">
        <f>'Forecast Estimates'!C24</f>
        <v>0</v>
      </c>
      <c r="D14" s="59">
        <f>'Forecast Estimates'!D24</f>
        <v>0</v>
      </c>
      <c r="E14" s="59">
        <f>'Forecast Estimates'!E24</f>
        <v>0</v>
      </c>
      <c r="F14" s="59">
        <f>'Forecast Estimates'!F24</f>
        <v>0</v>
      </c>
      <c r="G14" s="59">
        <f>'Forecast Estimates'!G24</f>
        <v>0</v>
      </c>
      <c r="H14" s="59">
        <f>'Forecast Estimates'!H24</f>
        <v>0</v>
      </c>
      <c r="I14" s="59">
        <f>'Forecast Estimates'!I24</f>
        <v>0</v>
      </c>
      <c r="J14" s="59">
        <f>'Forecast Estimates'!J24</f>
        <v>0</v>
      </c>
      <c r="K14" s="59">
        <f>'Forecast Estimates'!K24</f>
        <v>0</v>
      </c>
      <c r="L14" s="59">
        <f>'Forecast Estimates'!L24</f>
        <v>0</v>
      </c>
      <c r="M14" s="59">
        <f>'Forecast Estimates'!M24</f>
        <v>0</v>
      </c>
      <c r="N14" s="59">
        <f>'Forecast Estimates'!N24</f>
        <v>0</v>
      </c>
      <c r="O14" s="59">
        <f>'Forecast Estimates'!O24</f>
        <v>0</v>
      </c>
      <c r="P14" s="59">
        <f>'Forecast Estimates'!P24</f>
        <v>0</v>
      </c>
      <c r="Q14" s="59">
        <f>'Forecast Estimates'!Q24</f>
        <v>0</v>
      </c>
      <c r="R14" s="59">
        <f>'Forecast Estimates'!R24</f>
        <v>0</v>
      </c>
      <c r="S14" s="59">
        <f>'Forecast Estimates'!S24</f>
        <v>-0.5</v>
      </c>
      <c r="T14" s="59">
        <f>'Forecast Estimates'!T24</f>
        <v>-0.5</v>
      </c>
      <c r="U14" s="59">
        <f>'Forecast Estimates'!U24</f>
        <v>-0.5</v>
      </c>
      <c r="V14" s="59">
        <f>'Forecast Estimates'!V24</f>
        <v>-0.5</v>
      </c>
      <c r="W14" s="59">
        <f>'Forecast Estimates'!W24</f>
        <v>-0.5</v>
      </c>
      <c r="X14" s="59">
        <f>'Forecast Estimates'!X24</f>
        <v>-0.5</v>
      </c>
      <c r="Y14" s="59">
        <f>'Forecast Estimates'!Y24</f>
        <v>-0.5</v>
      </c>
      <c r="Z14" s="59">
        <f>'Forecast Estimates'!Z24</f>
        <v>-0.5</v>
      </c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</row>
    <row r="15" spans="1:74" s="33" customFormat="1" ht="13.5" x14ac:dyDescent="0.25">
      <c r="A15" s="61" t="s">
        <v>42</v>
      </c>
      <c r="B15" s="54">
        <f>B6-0.588*B43</f>
        <v>2.3371551282151684</v>
      </c>
      <c r="C15" s="54">
        <f t="shared" ref="C15:Y15" si="4">C6-0.588*C43</f>
        <v>-1.3116258576264315</v>
      </c>
      <c r="D15" s="54">
        <f t="shared" si="4"/>
        <v>-3.2199939536375406</v>
      </c>
      <c r="E15" s="54">
        <f t="shared" si="4"/>
        <v>-1.0796892165199923</v>
      </c>
      <c r="F15" s="54">
        <f t="shared" si="4"/>
        <v>-1.012132269884644</v>
      </c>
      <c r="G15" s="54">
        <f t="shared" si="4"/>
        <v>-1.4942925291187572</v>
      </c>
      <c r="H15" s="54">
        <f t="shared" si="4"/>
        <v>-1.1395533083566383</v>
      </c>
      <c r="I15" s="54">
        <f t="shared" si="4"/>
        <v>-5.3549713950092794</v>
      </c>
      <c r="J15" s="54">
        <f t="shared" si="4"/>
        <v>-8.7698062448168663</v>
      </c>
      <c r="K15" s="54">
        <f t="shared" si="4"/>
        <v>-8.7349813571676709</v>
      </c>
      <c r="L15" s="54">
        <f t="shared" si="4"/>
        <v>-7.475833799150216</v>
      </c>
      <c r="M15" s="54">
        <f t="shared" si="4"/>
        <v>-4.5274877433013518</v>
      </c>
      <c r="N15" s="54">
        <f t="shared" si="4"/>
        <v>-3.3136514735258924</v>
      </c>
      <c r="O15" s="54">
        <f t="shared" si="4"/>
        <v>-1.5127933341784141</v>
      </c>
      <c r="P15" s="54">
        <f t="shared" si="4"/>
        <v>-0.84190190683273691</v>
      </c>
      <c r="Q15" s="54">
        <f t="shared" si="4"/>
        <v>0.7725142414865942</v>
      </c>
      <c r="R15" s="54">
        <f t="shared" si="4"/>
        <v>0.5804629018224996</v>
      </c>
      <c r="S15" s="54">
        <f t="shared" si="4"/>
        <v>1.2452380812763058</v>
      </c>
      <c r="T15" s="54">
        <f t="shared" si="4"/>
        <v>0.12901740802588588</v>
      </c>
      <c r="U15" s="54">
        <f t="shared" si="4"/>
        <v>-0.41374991364923924</v>
      </c>
      <c r="V15" s="54">
        <f t="shared" si="4"/>
        <v>-0.21487737105790147</v>
      </c>
      <c r="W15" s="54">
        <f t="shared" si="4"/>
        <v>-0.52155782967942454</v>
      </c>
      <c r="X15" s="54">
        <f t="shared" si="4"/>
        <v>-0.69289612418932267</v>
      </c>
      <c r="Y15" s="54">
        <f t="shared" si="4"/>
        <v>-0.73542523582821306</v>
      </c>
      <c r="Z15" s="54">
        <f t="shared" ref="Z15" si="5">Z6-0.588*Z43</f>
        <v>-0.49925756990822268</v>
      </c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</row>
    <row r="16" spans="1:74" s="33" customFormat="1" ht="13.5" x14ac:dyDescent="0.25">
      <c r="A16" s="61" t="s">
        <v>43</v>
      </c>
      <c r="B16" s="51" t="str">
        <f>IF(B15&gt;B14,"Y","N")</f>
        <v>Y</v>
      </c>
      <c r="C16" s="51" t="str">
        <f t="shared" ref="C16:Y16" si="6">IF(C15&gt;C14,"Y","N")</f>
        <v>N</v>
      </c>
      <c r="D16" s="51" t="str">
        <f t="shared" si="6"/>
        <v>N</v>
      </c>
      <c r="E16" s="51" t="str">
        <f t="shared" si="6"/>
        <v>N</v>
      </c>
      <c r="F16" s="51" t="str">
        <f t="shared" si="6"/>
        <v>N</v>
      </c>
      <c r="G16" s="51" t="str">
        <f t="shared" si="6"/>
        <v>N</v>
      </c>
      <c r="H16" s="51" t="str">
        <f t="shared" si="6"/>
        <v>N</v>
      </c>
      <c r="I16" s="51" t="str">
        <f t="shared" si="6"/>
        <v>N</v>
      </c>
      <c r="J16" s="51" t="str">
        <f t="shared" si="6"/>
        <v>N</v>
      </c>
      <c r="K16" s="51" t="str">
        <f t="shared" si="6"/>
        <v>N</v>
      </c>
      <c r="L16" s="51" t="str">
        <f t="shared" si="6"/>
        <v>N</v>
      </c>
      <c r="M16" s="51" t="str">
        <f t="shared" si="6"/>
        <v>N</v>
      </c>
      <c r="N16" s="51" t="str">
        <f t="shared" si="6"/>
        <v>N</v>
      </c>
      <c r="O16" s="51" t="str">
        <f t="shared" si="6"/>
        <v>N</v>
      </c>
      <c r="P16" s="51" t="str">
        <f t="shared" si="6"/>
        <v>N</v>
      </c>
      <c r="Q16" s="51" t="str">
        <f t="shared" si="6"/>
        <v>Y</v>
      </c>
      <c r="R16" s="51" t="str">
        <f t="shared" si="6"/>
        <v>Y</v>
      </c>
      <c r="S16" s="51" t="str">
        <f t="shared" si="6"/>
        <v>Y</v>
      </c>
      <c r="T16" s="51" t="str">
        <f t="shared" si="6"/>
        <v>Y</v>
      </c>
      <c r="U16" s="51" t="str">
        <f t="shared" si="6"/>
        <v>Y</v>
      </c>
      <c r="V16" s="51" t="str">
        <f t="shared" si="6"/>
        <v>Y</v>
      </c>
      <c r="W16" s="51" t="str">
        <f t="shared" si="6"/>
        <v>N</v>
      </c>
      <c r="X16" s="51" t="str">
        <f t="shared" si="6"/>
        <v>N</v>
      </c>
      <c r="Y16" s="51" t="str">
        <f t="shared" si="6"/>
        <v>N</v>
      </c>
      <c r="Z16" s="51" t="str">
        <f t="shared" ref="Z16" si="7">IF(Z15&gt;Z14,"Y","N")</f>
        <v>Y</v>
      </c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</row>
    <row r="17" spans="1:74" s="36" customFormat="1" ht="13.5" x14ac:dyDescent="0.25">
      <c r="A17" s="58" t="s">
        <v>44</v>
      </c>
      <c r="B17" s="62" t="e">
        <f t="shared" ref="B17:Y17" si="8">B195</f>
        <v>#VALUE!</v>
      </c>
      <c r="C17" s="62">
        <f t="shared" si="8"/>
        <v>0</v>
      </c>
      <c r="D17" s="62">
        <f t="shared" si="8"/>
        <v>0.75</v>
      </c>
      <c r="E17" s="62">
        <f t="shared" si="8"/>
        <v>0.5</v>
      </c>
      <c r="F17" s="62">
        <f t="shared" si="8"/>
        <v>0.75</v>
      </c>
      <c r="G17" s="62">
        <f t="shared" si="8"/>
        <v>0.75</v>
      </c>
      <c r="H17" s="62">
        <f t="shared" si="8"/>
        <v>0.75</v>
      </c>
      <c r="I17" s="62">
        <f t="shared" si="8"/>
        <v>0.75</v>
      </c>
      <c r="J17" s="62">
        <f t="shared" si="8"/>
        <v>0.5</v>
      </c>
      <c r="K17" s="62">
        <f t="shared" si="8"/>
        <v>0</v>
      </c>
      <c r="L17" s="62">
        <f t="shared" si="8"/>
        <v>0</v>
      </c>
      <c r="M17" s="62">
        <f t="shared" si="8"/>
        <v>0</v>
      </c>
      <c r="N17" s="62">
        <f t="shared" si="8"/>
        <v>0</v>
      </c>
      <c r="O17" s="62">
        <f t="shared" si="8"/>
        <v>0</v>
      </c>
      <c r="P17" s="62">
        <f t="shared" si="8"/>
        <v>0</v>
      </c>
      <c r="Q17" s="62">
        <f t="shared" si="8"/>
        <v>0.25</v>
      </c>
      <c r="R17" s="62">
        <f t="shared" si="8"/>
        <v>0</v>
      </c>
      <c r="S17" s="62">
        <f t="shared" si="8"/>
        <v>0</v>
      </c>
      <c r="T17" s="62">
        <f t="shared" si="8"/>
        <v>0</v>
      </c>
      <c r="U17" s="62">
        <f t="shared" si="8"/>
        <v>0</v>
      </c>
      <c r="V17" s="62">
        <f t="shared" si="8"/>
        <v>0</v>
      </c>
      <c r="W17" s="62">
        <f t="shared" si="8"/>
        <v>0</v>
      </c>
      <c r="X17" s="62">
        <f t="shared" si="8"/>
        <v>2.1557829679424545E-2</v>
      </c>
      <c r="Y17" s="62">
        <f t="shared" si="8"/>
        <v>0.19289612418932267</v>
      </c>
      <c r="Z17" s="62">
        <f t="shared" ref="Z17" si="9">Z195</f>
        <v>0.23542523582821306</v>
      </c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</row>
    <row r="18" spans="1:74" s="33" customFormat="1" ht="13.5" x14ac:dyDescent="0.25">
      <c r="A18" s="61" t="s">
        <v>45</v>
      </c>
      <c r="B18" s="54" t="e">
        <f t="shared" ref="B18:Z18" si="10">B15-A15</f>
        <v>#VALUE!</v>
      </c>
      <c r="C18" s="54">
        <f t="shared" si="10"/>
        <v>-3.6487809858415998</v>
      </c>
      <c r="D18" s="54">
        <f t="shared" si="10"/>
        <v>-1.9083680960111091</v>
      </c>
      <c r="E18" s="54">
        <f t="shared" si="10"/>
        <v>2.1403047371175483</v>
      </c>
      <c r="F18" s="54">
        <f t="shared" si="10"/>
        <v>6.7556946635348281E-2</v>
      </c>
      <c r="G18" s="54">
        <f t="shared" si="10"/>
        <v>-0.48216025923411321</v>
      </c>
      <c r="H18" s="54">
        <f t="shared" si="10"/>
        <v>0.35473922076211895</v>
      </c>
      <c r="I18" s="54">
        <f t="shared" si="10"/>
        <v>-4.2154180866526412</v>
      </c>
      <c r="J18" s="54">
        <f t="shared" si="10"/>
        <v>-3.4148348498075869</v>
      </c>
      <c r="K18" s="54">
        <f t="shared" si="10"/>
        <v>3.4824887649195446E-2</v>
      </c>
      <c r="L18" s="54">
        <f t="shared" si="10"/>
        <v>1.2591475580174549</v>
      </c>
      <c r="M18" s="54">
        <f t="shared" si="10"/>
        <v>2.9483460558488641</v>
      </c>
      <c r="N18" s="54">
        <f t="shared" si="10"/>
        <v>1.2138362697754594</v>
      </c>
      <c r="O18" s="54">
        <f t="shared" si="10"/>
        <v>1.8008581393474783</v>
      </c>
      <c r="P18" s="54">
        <f t="shared" si="10"/>
        <v>0.67089142734567719</v>
      </c>
      <c r="Q18" s="54">
        <f t="shared" si="10"/>
        <v>1.6144161483193311</v>
      </c>
      <c r="R18" s="54">
        <f t="shared" si="10"/>
        <v>-0.1920513396640946</v>
      </c>
      <c r="S18" s="54">
        <f t="shared" si="10"/>
        <v>0.66477517945380615</v>
      </c>
      <c r="T18" s="54">
        <f t="shared" si="10"/>
        <v>-1.1162206732504198</v>
      </c>
      <c r="U18" s="54">
        <f t="shared" si="10"/>
        <v>-0.54276732167512509</v>
      </c>
      <c r="V18" s="54">
        <f t="shared" si="10"/>
        <v>0.19887254259133777</v>
      </c>
      <c r="W18" s="54">
        <f t="shared" si="10"/>
        <v>-0.30668045862152304</v>
      </c>
      <c r="X18" s="54">
        <f t="shared" si="10"/>
        <v>-0.17133829450989813</v>
      </c>
      <c r="Y18" s="54">
        <f t="shared" si="10"/>
        <v>-4.2529111638890393E-2</v>
      </c>
      <c r="Z18" s="54">
        <f t="shared" si="10"/>
        <v>0.23616766591999039</v>
      </c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</row>
    <row r="19" spans="1:74" s="33" customFormat="1" ht="13.5" x14ac:dyDescent="0.25">
      <c r="A19" s="61" t="s">
        <v>46</v>
      </c>
      <c r="B19" s="54" t="e">
        <f t="shared" ref="B19:Y19" si="11">B20*B68/100000</f>
        <v>#VALUE!</v>
      </c>
      <c r="C19" s="54">
        <f t="shared" si="11"/>
        <v>-4.2849426643592547</v>
      </c>
      <c r="D19" s="54">
        <f t="shared" si="11"/>
        <v>-3.455971244537229</v>
      </c>
      <c r="E19" s="54">
        <f t="shared" si="11"/>
        <v>2.3312718767125156</v>
      </c>
      <c r="F19" s="54">
        <f t="shared" si="11"/>
        <v>-1.0253773012254201</v>
      </c>
      <c r="G19" s="54">
        <f t="shared" si="11"/>
        <v>-1.9932583489266609</v>
      </c>
      <c r="H19" s="54">
        <f t="shared" si="11"/>
        <v>-0.68563026132508598</v>
      </c>
      <c r="I19" s="54">
        <f t="shared" si="11"/>
        <v>-8.9379144293907675</v>
      </c>
      <c r="J19" s="54">
        <f t="shared" si="11"/>
        <v>-7.1381416555679715</v>
      </c>
      <c r="K19" s="54">
        <f t="shared" si="11"/>
        <v>6.2130792944498914E-2</v>
      </c>
      <c r="L19" s="54">
        <f t="shared" si="11"/>
        <v>2.2450349024178089</v>
      </c>
      <c r="M19" s="54">
        <f t="shared" si="11"/>
        <v>5.4406295343587292</v>
      </c>
      <c r="N19" s="54">
        <f t="shared" si="11"/>
        <v>2.3136285389547178</v>
      </c>
      <c r="O19" s="54">
        <f t="shared" si="11"/>
        <v>3.5401251823100743</v>
      </c>
      <c r="P19" s="54">
        <f t="shared" si="11"/>
        <v>1.3702570562798935</v>
      </c>
      <c r="Q19" s="54">
        <f t="shared" si="11"/>
        <v>3.7070884221488725</v>
      </c>
      <c r="R19" s="54">
        <f t="shared" si="11"/>
        <v>-0.53462731132192098</v>
      </c>
      <c r="S19" s="54">
        <f t="shared" si="11"/>
        <v>2.0266283183296698</v>
      </c>
      <c r="T19" s="54">
        <f>T20*T68/100000</f>
        <v>-3.6233700634219095</v>
      </c>
      <c r="U19" s="54">
        <f t="shared" si="11"/>
        <v>-1.8436834823830792</v>
      </c>
      <c r="V19" s="54">
        <f t="shared" si="11"/>
        <v>0.70082658505866546</v>
      </c>
      <c r="W19" s="54">
        <f t="shared" si="11"/>
        <v>-1.1139496609650898</v>
      </c>
      <c r="X19" s="54">
        <f t="shared" si="11"/>
        <v>-0.72524962737891063</v>
      </c>
      <c r="Y19" s="54">
        <f t="shared" si="11"/>
        <v>-0.91606340981570988</v>
      </c>
      <c r="Z19" s="54">
        <f t="shared" ref="Z19" si="12">Z20*Z68/100000</f>
        <v>2.999397656317205E-3</v>
      </c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</row>
    <row r="20" spans="1:74" s="33" customFormat="1" ht="13.5" x14ac:dyDescent="0.25">
      <c r="A20" s="61" t="s">
        <v>47</v>
      </c>
      <c r="B20" s="54" t="e">
        <f t="shared" ref="B20:Y20" si="13">IF(B17="-",B15-B14,B18-B17)</f>
        <v>#VALUE!</v>
      </c>
      <c r="C20" s="54">
        <f t="shared" si="13"/>
        <v>-3.6487809858415998</v>
      </c>
      <c r="D20" s="54">
        <f t="shared" si="13"/>
        <v>-2.6583680960111091</v>
      </c>
      <c r="E20" s="54">
        <f t="shared" si="13"/>
        <v>1.6403047371175483</v>
      </c>
      <c r="F20" s="54">
        <f t="shared" si="13"/>
        <v>-0.68244305336465172</v>
      </c>
      <c r="G20" s="54">
        <f t="shared" si="13"/>
        <v>-1.2321602592341132</v>
      </c>
      <c r="H20" s="54">
        <f t="shared" si="13"/>
        <v>-0.39526077923788105</v>
      </c>
      <c r="I20" s="54">
        <f t="shared" si="13"/>
        <v>-4.9654180866526412</v>
      </c>
      <c r="J20" s="54">
        <f t="shared" si="13"/>
        <v>-3.9148348498075869</v>
      </c>
      <c r="K20" s="54">
        <f t="shared" si="13"/>
        <v>3.4824887649195446E-2</v>
      </c>
      <c r="L20" s="54">
        <f t="shared" si="13"/>
        <v>1.2591475580174549</v>
      </c>
      <c r="M20" s="54">
        <f t="shared" si="13"/>
        <v>2.9483460558488641</v>
      </c>
      <c r="N20" s="54">
        <f t="shared" si="13"/>
        <v>1.2138362697754594</v>
      </c>
      <c r="O20" s="54">
        <f t="shared" si="13"/>
        <v>1.8008581393474783</v>
      </c>
      <c r="P20" s="54">
        <f t="shared" si="13"/>
        <v>0.67089142734567719</v>
      </c>
      <c r="Q20" s="54">
        <f t="shared" si="13"/>
        <v>1.3644161483193311</v>
      </c>
      <c r="R20" s="54">
        <f t="shared" si="13"/>
        <v>-0.1920513396640946</v>
      </c>
      <c r="S20" s="54">
        <f t="shared" si="13"/>
        <v>0.66477517945380615</v>
      </c>
      <c r="T20" s="54">
        <f t="shared" si="13"/>
        <v>-1.1162206732504198</v>
      </c>
      <c r="U20" s="54">
        <f t="shared" si="13"/>
        <v>-0.54276732167512509</v>
      </c>
      <c r="V20" s="54">
        <f t="shared" si="13"/>
        <v>0.19887254259133777</v>
      </c>
      <c r="W20" s="54">
        <f t="shared" si="13"/>
        <v>-0.30668045862152304</v>
      </c>
      <c r="X20" s="54">
        <f t="shared" si="13"/>
        <v>-0.19289612418932267</v>
      </c>
      <c r="Y20" s="54">
        <f t="shared" si="13"/>
        <v>-0.23542523582821306</v>
      </c>
      <c r="Z20" s="54">
        <f t="shared" ref="Z20" si="14">IF(Z17="-",Z15-Z14,Z18-Z17)</f>
        <v>7.4243009177732411E-4</v>
      </c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</row>
    <row r="21" spans="1:74" s="33" customFormat="1" ht="13.5" x14ac:dyDescent="0.25">
      <c r="A21" s="61" t="s">
        <v>48</v>
      </c>
      <c r="B21" s="54" t="e">
        <f t="shared" ref="B21:Z22" si="15">AVERAGE(A19:B19)</f>
        <v>#VALUE!</v>
      </c>
      <c r="C21" s="54" t="e">
        <f t="shared" si="15"/>
        <v>#VALUE!</v>
      </c>
      <c r="D21" s="54">
        <f t="shared" si="15"/>
        <v>-3.8704569544482421</v>
      </c>
      <c r="E21" s="54">
        <f t="shared" si="15"/>
        <v>-0.56234968391235673</v>
      </c>
      <c r="F21" s="54">
        <f t="shared" si="15"/>
        <v>0.65294728774354771</v>
      </c>
      <c r="G21" s="54">
        <f t="shared" si="15"/>
        <v>-1.5093178250760406</v>
      </c>
      <c r="H21" s="54">
        <f t="shared" si="15"/>
        <v>-1.3394443051258733</v>
      </c>
      <c r="I21" s="54">
        <f t="shared" si="15"/>
        <v>-4.8117723453579266</v>
      </c>
      <c r="J21" s="54">
        <f t="shared" si="15"/>
        <v>-8.03802804247937</v>
      </c>
      <c r="K21" s="54">
        <f t="shared" si="15"/>
        <v>-3.5380054313117362</v>
      </c>
      <c r="L21" s="54">
        <f t="shared" si="15"/>
        <v>1.1535828476811538</v>
      </c>
      <c r="M21" s="54">
        <f t="shared" si="15"/>
        <v>3.8428322183882688</v>
      </c>
      <c r="N21" s="54">
        <f t="shared" si="15"/>
        <v>3.8771290366567235</v>
      </c>
      <c r="O21" s="54">
        <f t="shared" si="15"/>
        <v>2.926876860632396</v>
      </c>
      <c r="P21" s="54">
        <f t="shared" si="15"/>
        <v>2.4551911192949838</v>
      </c>
      <c r="Q21" s="54">
        <f t="shared" si="15"/>
        <v>2.5386727392143831</v>
      </c>
      <c r="R21" s="54">
        <f t="shared" si="15"/>
        <v>1.5862305554134757</v>
      </c>
      <c r="S21" s="54">
        <f t="shared" si="15"/>
        <v>0.74600050350387437</v>
      </c>
      <c r="T21" s="63">
        <f t="shared" si="15"/>
        <v>-0.79837087254611983</v>
      </c>
      <c r="U21" s="54">
        <f t="shared" si="15"/>
        <v>-2.7335267729024944</v>
      </c>
      <c r="V21" s="54">
        <f t="shared" si="15"/>
        <v>-0.57142844866220688</v>
      </c>
      <c r="W21" s="54">
        <f t="shared" si="15"/>
        <v>-0.20656153795321219</v>
      </c>
      <c r="X21" s="54">
        <f t="shared" si="15"/>
        <v>-0.91959964417200024</v>
      </c>
      <c r="Y21" s="54">
        <f t="shared" si="15"/>
        <v>-0.82065651859731026</v>
      </c>
      <c r="Z21" s="54">
        <f t="shared" si="15"/>
        <v>-0.45653200607969635</v>
      </c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</row>
    <row r="22" spans="1:74" s="33" customFormat="1" ht="13.5" x14ac:dyDescent="0.25">
      <c r="A22" s="61" t="s">
        <v>49</v>
      </c>
      <c r="B22" s="54" t="e">
        <f t="shared" si="15"/>
        <v>#VALUE!</v>
      </c>
      <c r="C22" s="54" t="e">
        <f t="shared" si="15"/>
        <v>#VALUE!</v>
      </c>
      <c r="D22" s="54">
        <f t="shared" si="15"/>
        <v>-3.1535745409263543</v>
      </c>
      <c r="E22" s="54">
        <f t="shared" si="15"/>
        <v>-0.50903167944678041</v>
      </c>
      <c r="F22" s="54">
        <f t="shared" si="15"/>
        <v>0.4789308418764483</v>
      </c>
      <c r="G22" s="54">
        <f t="shared" si="15"/>
        <v>-0.95730165629938246</v>
      </c>
      <c r="H22" s="54">
        <f t="shared" si="15"/>
        <v>-0.81371051923599713</v>
      </c>
      <c r="I22" s="54">
        <f t="shared" si="15"/>
        <v>-2.680339432945261</v>
      </c>
      <c r="J22" s="54">
        <f t="shared" si="15"/>
        <v>-4.4401264682301136</v>
      </c>
      <c r="K22" s="54">
        <f t="shared" si="15"/>
        <v>-1.9400049810791957</v>
      </c>
      <c r="L22" s="54">
        <f t="shared" si="15"/>
        <v>0.64698622283332519</v>
      </c>
      <c r="M22" s="54">
        <f t="shared" si="15"/>
        <v>2.1037468069331595</v>
      </c>
      <c r="N22" s="54">
        <f t="shared" si="15"/>
        <v>2.0810911628121618</v>
      </c>
      <c r="O22" s="54">
        <f t="shared" si="15"/>
        <v>1.5073472045614689</v>
      </c>
      <c r="P22" s="54">
        <f t="shared" si="15"/>
        <v>1.2358747833465777</v>
      </c>
      <c r="Q22" s="54">
        <f t="shared" si="15"/>
        <v>1.0176537878325043</v>
      </c>
      <c r="R22" s="54">
        <f t="shared" si="15"/>
        <v>0.58618240432761826</v>
      </c>
      <c r="S22" s="54">
        <f t="shared" si="15"/>
        <v>0.23636191989485578</v>
      </c>
      <c r="T22" s="54">
        <f t="shared" si="15"/>
        <v>-0.22572274689830685</v>
      </c>
      <c r="U22" s="54">
        <f t="shared" si="15"/>
        <v>-0.82949399746277241</v>
      </c>
      <c r="V22" s="54">
        <f t="shared" si="15"/>
        <v>-0.17194738954189365</v>
      </c>
      <c r="W22" s="54">
        <f t="shared" si="15"/>
        <v>-5.3903958015092637E-2</v>
      </c>
      <c r="X22" s="54">
        <f t="shared" si="15"/>
        <v>-0.24978829140542286</v>
      </c>
      <c r="Y22" s="54">
        <f t="shared" si="15"/>
        <v>-0.21416068000876787</v>
      </c>
      <c r="Z22" s="54">
        <f t="shared" si="15"/>
        <v>-0.11734140286821787</v>
      </c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</row>
    <row r="23" spans="1:74" s="33" customFormat="1" ht="13.5" x14ac:dyDescent="0.25">
      <c r="A23" s="6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</row>
    <row r="24" spans="1:74" s="33" customFormat="1" ht="13.5" x14ac:dyDescent="0.25">
      <c r="A24" s="57" t="s">
        <v>50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</row>
    <row r="25" spans="1:74" s="33" customFormat="1" ht="13.5" x14ac:dyDescent="0.25">
      <c r="A25" s="61" t="s">
        <v>51</v>
      </c>
      <c r="B25" s="55">
        <f t="shared" ref="B25:Y25" si="16">B115</f>
        <v>0</v>
      </c>
      <c r="C25" s="55" t="e">
        <f t="shared" si="16"/>
        <v>#REF!</v>
      </c>
      <c r="D25" s="55" t="e">
        <f t="shared" si="16"/>
        <v>#REF!</v>
      </c>
      <c r="E25" s="55" t="e">
        <f t="shared" si="16"/>
        <v>#REF!</v>
      </c>
      <c r="F25" s="55" t="e">
        <f t="shared" si="16"/>
        <v>#VALUE!</v>
      </c>
      <c r="G25" s="55" t="e">
        <f t="shared" si="16"/>
        <v>#VALUE!</v>
      </c>
      <c r="H25" s="55">
        <f t="shared" si="16"/>
        <v>4.0997024158639039</v>
      </c>
      <c r="I25" s="55">
        <f t="shared" si="16"/>
        <v>3.7482374150358044</v>
      </c>
      <c r="J25" s="55">
        <f t="shared" si="16"/>
        <v>3.4016270542114979</v>
      </c>
      <c r="K25" s="55">
        <f t="shared" si="16"/>
        <v>3.0043400540638476</v>
      </c>
      <c r="L25" s="55">
        <f t="shared" si="16"/>
        <v>2.6955322242002477</v>
      </c>
      <c r="M25" s="55">
        <f t="shared" si="16"/>
        <v>2.5909903989030703</v>
      </c>
      <c r="N25" s="55">
        <f t="shared" si="16"/>
        <v>2.4974220892491905</v>
      </c>
      <c r="O25" s="55">
        <f t="shared" si="16"/>
        <v>2.4162528164022978</v>
      </c>
      <c r="P25" s="55">
        <f t="shared" si="16"/>
        <v>2.9243394191863281</v>
      </c>
      <c r="Q25" s="55">
        <f t="shared" si="16"/>
        <v>3.295231644497032</v>
      </c>
      <c r="R25" s="55">
        <f t="shared" si="16"/>
        <v>3.4506217184602006</v>
      </c>
      <c r="S25" s="55">
        <f t="shared" si="16"/>
        <v>3.3421195127115277</v>
      </c>
      <c r="T25" s="55">
        <f t="shared" si="16"/>
        <v>3.3058997819771729</v>
      </c>
      <c r="U25" s="55">
        <f t="shared" si="16"/>
        <v>3.416706440137407</v>
      </c>
      <c r="V25" s="55">
        <f t="shared" si="16"/>
        <v>3.4357405481509451</v>
      </c>
      <c r="W25" s="55">
        <f t="shared" si="16"/>
        <v>3.285285460278331</v>
      </c>
      <c r="X25" s="55">
        <f t="shared" si="16"/>
        <v>3.1924570062718427</v>
      </c>
      <c r="Y25" s="55">
        <f t="shared" si="16"/>
        <v>3.1574213252695049</v>
      </c>
      <c r="Z25" s="55">
        <f t="shared" ref="Z25" si="17">Z115</f>
        <v>2.6369357062653975</v>
      </c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</row>
    <row r="26" spans="1:74" s="33" customFormat="1" ht="13.5" x14ac:dyDescent="0.25">
      <c r="A26" s="61" t="s">
        <v>52</v>
      </c>
      <c r="B26" s="55" t="e">
        <f t="shared" ref="B26:Y26" si="18">B120</f>
        <v>#VALUE!</v>
      </c>
      <c r="C26" s="55">
        <f t="shared" si="18"/>
        <v>0</v>
      </c>
      <c r="D26" s="55">
        <f t="shared" si="18"/>
        <v>2.3511643993543925</v>
      </c>
      <c r="E26" s="55">
        <f t="shared" si="18"/>
        <v>1.5725243620492213</v>
      </c>
      <c r="F26" s="55">
        <f t="shared" si="18"/>
        <v>2.3372834504231199</v>
      </c>
      <c r="G26" s="55">
        <f t="shared" si="18"/>
        <v>2.3184976295569721</v>
      </c>
      <c r="H26" s="55">
        <f t="shared" si="18"/>
        <v>2.2813229635963039</v>
      </c>
      <c r="I26" s="55">
        <f t="shared" si="18"/>
        <v>2.146922630280157</v>
      </c>
      <c r="J26" s="55">
        <f t="shared" si="18"/>
        <v>1.2326300449019247</v>
      </c>
      <c r="K26" s="55">
        <f t="shared" si="18"/>
        <v>0</v>
      </c>
      <c r="L26" s="55">
        <f t="shared" si="18"/>
        <v>0</v>
      </c>
      <c r="M26" s="55">
        <f t="shared" si="18"/>
        <v>0</v>
      </c>
      <c r="N26" s="55">
        <f t="shared" si="18"/>
        <v>0</v>
      </c>
      <c r="O26" s="55">
        <f t="shared" si="18"/>
        <v>0</v>
      </c>
      <c r="P26" s="55">
        <f t="shared" si="18"/>
        <v>0</v>
      </c>
      <c r="Q26" s="55">
        <f t="shared" si="18"/>
        <v>0.95013158465520475</v>
      </c>
      <c r="R26" s="55">
        <f t="shared" si="18"/>
        <v>0</v>
      </c>
      <c r="S26" s="55">
        <f t="shared" si="18"/>
        <v>0</v>
      </c>
      <c r="T26" s="55">
        <f t="shared" si="18"/>
        <v>0</v>
      </c>
      <c r="U26" s="55">
        <f t="shared" si="18"/>
        <v>0</v>
      </c>
      <c r="V26" s="55">
        <f t="shared" si="18"/>
        <v>0</v>
      </c>
      <c r="W26" s="55">
        <f t="shared" si="18"/>
        <v>0</v>
      </c>
      <c r="X26" s="55">
        <f t="shared" si="18"/>
        <v>8.9347101972517801E-2</v>
      </c>
      <c r="Y26" s="55">
        <f t="shared" si="18"/>
        <v>0.80722328604146532</v>
      </c>
      <c r="Z26" s="55">
        <f t="shared" ref="Z26" si="19">Z120</f>
        <v>0.99152048310342489</v>
      </c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</row>
    <row r="27" spans="1:74" s="33" customFormat="1" ht="13.5" x14ac:dyDescent="0.25">
      <c r="A27" s="61" t="s">
        <v>53</v>
      </c>
      <c r="B27" s="55" t="e">
        <f t="shared" ref="B27:T27" si="20">B25-B26</f>
        <v>#VALUE!</v>
      </c>
      <c r="C27" s="55" t="e">
        <f t="shared" si="20"/>
        <v>#REF!</v>
      </c>
      <c r="D27" s="55" t="e">
        <f t="shared" si="20"/>
        <v>#REF!</v>
      </c>
      <c r="E27" s="55" t="e">
        <f t="shared" si="20"/>
        <v>#REF!</v>
      </c>
      <c r="F27" s="55" t="e">
        <f t="shared" si="20"/>
        <v>#VALUE!</v>
      </c>
      <c r="G27" s="55" t="e">
        <f t="shared" si="20"/>
        <v>#VALUE!</v>
      </c>
      <c r="H27" s="55">
        <f t="shared" si="20"/>
        <v>1.8183794522676</v>
      </c>
      <c r="I27" s="55">
        <f t="shared" si="20"/>
        <v>1.6013147847556475</v>
      </c>
      <c r="J27" s="55">
        <f t="shared" si="20"/>
        <v>2.1689970093095732</v>
      </c>
      <c r="K27" s="55">
        <f t="shared" si="20"/>
        <v>3.0043400540638476</v>
      </c>
      <c r="L27" s="55">
        <f t="shared" si="20"/>
        <v>2.6955322242002477</v>
      </c>
      <c r="M27" s="55">
        <f t="shared" si="20"/>
        <v>2.5909903989030703</v>
      </c>
      <c r="N27" s="55">
        <f t="shared" si="20"/>
        <v>2.4974220892491905</v>
      </c>
      <c r="O27" s="55">
        <f t="shared" si="20"/>
        <v>2.4162528164022978</v>
      </c>
      <c r="P27" s="55">
        <f t="shared" si="20"/>
        <v>2.9243394191863281</v>
      </c>
      <c r="Q27" s="55">
        <f t="shared" si="20"/>
        <v>2.345100059841827</v>
      </c>
      <c r="R27" s="55">
        <f t="shared" si="20"/>
        <v>3.4506217184602006</v>
      </c>
      <c r="S27" s="55">
        <f t="shared" si="20"/>
        <v>3.3421195127115277</v>
      </c>
      <c r="T27" s="55">
        <f t="shared" si="20"/>
        <v>3.3058997819771729</v>
      </c>
      <c r="U27" s="55">
        <f>U25-U26</f>
        <v>3.416706440137407</v>
      </c>
      <c r="V27" s="55">
        <f t="shared" ref="V27:Z27" si="21">V25-V26</f>
        <v>3.4357405481509451</v>
      </c>
      <c r="W27" s="55">
        <f t="shared" si="21"/>
        <v>3.285285460278331</v>
      </c>
      <c r="X27" s="55">
        <f t="shared" si="21"/>
        <v>3.1031099042993251</v>
      </c>
      <c r="Y27" s="55">
        <f t="shared" si="21"/>
        <v>2.3501980392280397</v>
      </c>
      <c r="Z27" s="55">
        <f t="shared" si="21"/>
        <v>1.6454152231619728</v>
      </c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</row>
    <row r="28" spans="1:74" s="33" customFormat="1" ht="13.5" x14ac:dyDescent="0.25">
      <c r="A28" s="61" t="s">
        <v>54</v>
      </c>
      <c r="B28" s="55">
        <f t="shared" ref="B28:Y28" si="22">B124</f>
        <v>0</v>
      </c>
      <c r="C28" s="55">
        <f t="shared" si="22"/>
        <v>6.8868974150514184</v>
      </c>
      <c r="D28" s="55">
        <f t="shared" si="22"/>
        <v>5.2491706746798483</v>
      </c>
      <c r="E28" s="55">
        <f t="shared" si="22"/>
        <v>3.9200603321697836</v>
      </c>
      <c r="F28" s="55">
        <f t="shared" si="22"/>
        <v>0.51729093966270678</v>
      </c>
      <c r="G28" s="55">
        <f t="shared" si="22"/>
        <v>3.1161649077992681</v>
      </c>
      <c r="H28" s="55">
        <f t="shared" si="22"/>
        <v>3.4546280537661955</v>
      </c>
      <c r="I28" s="55">
        <f t="shared" si="22"/>
        <v>1.2103205307623766</v>
      </c>
      <c r="J28" s="55">
        <f t="shared" si="22"/>
        <v>-0.31696451492468913</v>
      </c>
      <c r="K28" s="55">
        <f t="shared" si="22"/>
        <v>-4.5619281435162478</v>
      </c>
      <c r="L28" s="55">
        <f t="shared" si="22"/>
        <v>-3.1458534548861494</v>
      </c>
      <c r="M28" s="55">
        <f t="shared" si="22"/>
        <v>1.4967129597211359</v>
      </c>
      <c r="N28" s="55">
        <f t="shared" si="22"/>
        <v>2.2795388731627897</v>
      </c>
      <c r="O28" s="55">
        <f t="shared" si="22"/>
        <v>1.2272380195011756</v>
      </c>
      <c r="P28" s="55">
        <f t="shared" si="22"/>
        <v>-0.11078276839463497</v>
      </c>
      <c r="Q28" s="55">
        <f t="shared" si="22"/>
        <v>-0.20513680627906594</v>
      </c>
      <c r="R28" s="55">
        <f t="shared" si="22"/>
        <v>-0.29949084416349692</v>
      </c>
      <c r="S28" s="55">
        <f t="shared" si="22"/>
        <v>1.1292531028695096</v>
      </c>
      <c r="T28" s="55">
        <f t="shared" si="22"/>
        <v>0.81890194955911433</v>
      </c>
      <c r="U28" s="55">
        <f t="shared" si="22"/>
        <v>0.43088458481728154</v>
      </c>
      <c r="V28" s="55">
        <f t="shared" si="22"/>
        <v>1.6459509265629002</v>
      </c>
      <c r="W28" s="55">
        <f t="shared" si="22"/>
        <v>1.4373891321334487</v>
      </c>
      <c r="X28" s="55">
        <f t="shared" si="22"/>
        <v>1.3799170697606833</v>
      </c>
      <c r="Y28" s="55">
        <f t="shared" si="22"/>
        <v>1.3874075065220204</v>
      </c>
      <c r="Z28" s="55">
        <f t="shared" ref="Z28" si="23">Z124</f>
        <v>1.3730061434860552</v>
      </c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</row>
    <row r="29" spans="1:74" s="36" customFormat="1" ht="13.5" x14ac:dyDescent="0.25">
      <c r="A29" s="58" t="s">
        <v>55</v>
      </c>
      <c r="B29" s="62" t="e">
        <f t="shared" ref="B29:Y29" si="24">((1+B27/100)*(1+B28/100)-1)*100</f>
        <v>#VALUE!</v>
      </c>
      <c r="C29" s="62" t="e">
        <f t="shared" si="24"/>
        <v>#REF!</v>
      </c>
      <c r="D29" s="62" t="e">
        <f t="shared" si="24"/>
        <v>#REF!</v>
      </c>
      <c r="E29" s="62" t="e">
        <f t="shared" si="24"/>
        <v>#REF!</v>
      </c>
      <c r="F29" s="62" t="e">
        <f t="shared" si="24"/>
        <v>#VALUE!</v>
      </c>
      <c r="G29" s="62" t="e">
        <f t="shared" si="24"/>
        <v>#VALUE!</v>
      </c>
      <c r="H29" s="62">
        <f t="shared" si="24"/>
        <v>5.3358257527157393</v>
      </c>
      <c r="I29" s="62">
        <f t="shared" si="24"/>
        <v>2.8310163571200642</v>
      </c>
      <c r="J29" s="62">
        <f t="shared" si="24"/>
        <v>1.8451575435356027</v>
      </c>
      <c r="K29" s="62">
        <f t="shared" si="24"/>
        <v>-1.6946439239056699</v>
      </c>
      <c r="L29" s="62">
        <f t="shared" si="24"/>
        <v>-0.53511872428847473</v>
      </c>
      <c r="M29" s="62">
        <f t="shared" si="24"/>
        <v>4.1264830477097281</v>
      </c>
      <c r="N29" s="62">
        <f t="shared" si="24"/>
        <v>4.8338906697633632</v>
      </c>
      <c r="O29" s="62">
        <f t="shared" si="24"/>
        <v>3.6731440091136269</v>
      </c>
      <c r="P29" s="62">
        <f t="shared" si="24"/>
        <v>2.8103169866258604</v>
      </c>
      <c r="Q29" s="62">
        <f t="shared" si="24"/>
        <v>2.1351525901959434</v>
      </c>
      <c r="R29" s="62">
        <f t="shared" si="24"/>
        <v>3.1407965781832026</v>
      </c>
      <c r="S29" s="62">
        <f t="shared" si="24"/>
        <v>4.5091136038799329</v>
      </c>
      <c r="T29" s="62">
        <f t="shared" si="24"/>
        <v>4.1518738093013763</v>
      </c>
      <c r="U29" s="62">
        <f t="shared" si="24"/>
        <v>3.8623130863137067</v>
      </c>
      <c r="V29" s="62">
        <f t="shared" si="24"/>
        <v>5.1382420781004301</v>
      </c>
      <c r="W29" s="62">
        <f t="shared" si="24"/>
        <v>4.7698969285773885</v>
      </c>
      <c r="X29" s="62">
        <f t="shared" si="24"/>
        <v>4.5258473173228619</v>
      </c>
      <c r="Y29" s="62">
        <f t="shared" si="24"/>
        <v>3.7702123697644474</v>
      </c>
      <c r="Z29" s="62">
        <f t="shared" ref="Z29" si="25">((1+Z27/100)*(1+Z28/100)-1)*100</f>
        <v>3.0410130187479067</v>
      </c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</row>
    <row r="30" spans="1:74" s="33" customFormat="1" ht="13.5" x14ac:dyDescent="0.25">
      <c r="A30" s="61" t="s">
        <v>56</v>
      </c>
      <c r="B30" s="55" t="e">
        <f t="shared" ref="B30:L30" si="26">B90</f>
        <v>#VALUE!</v>
      </c>
      <c r="C30" s="55">
        <f t="shared" si="26"/>
        <v>19.153389349083525</v>
      </c>
      <c r="D30" s="55">
        <f t="shared" si="26"/>
        <v>14.058883072083567</v>
      </c>
      <c r="E30" s="55">
        <f t="shared" si="26"/>
        <v>21.824320052587414</v>
      </c>
      <c r="F30" s="55">
        <f t="shared" si="26"/>
        <v>9.0136927632545891</v>
      </c>
      <c r="G30" s="55">
        <f t="shared" si="26"/>
        <v>9.5149436279204078</v>
      </c>
      <c r="H30" s="55">
        <f t="shared" si="26"/>
        <v>9.1500113366481521</v>
      </c>
      <c r="I30" s="55">
        <f t="shared" si="26"/>
        <v>11.223820196681805</v>
      </c>
      <c r="J30" s="55">
        <f t="shared" si="26"/>
        <v>10.073737647693644</v>
      </c>
      <c r="K30" s="55">
        <f t="shared" si="26"/>
        <v>3.3840734762758928</v>
      </c>
      <c r="L30" s="55">
        <f t="shared" si="26"/>
        <v>36.757950722721269</v>
      </c>
      <c r="M30" s="55">
        <f>M90</f>
        <v>-30.19571447962311</v>
      </c>
      <c r="N30" s="55">
        <f t="shared" ref="N30:Y30" si="27">N90</f>
        <v>-11.558054866330687</v>
      </c>
      <c r="O30" s="55">
        <f t="shared" si="27"/>
        <v>-2.8659488017403651</v>
      </c>
      <c r="P30" s="55">
        <f t="shared" si="27"/>
        <v>-1.483012910720289</v>
      </c>
      <c r="Q30" s="55">
        <f t="shared" si="27"/>
        <v>7.5946290648063721</v>
      </c>
      <c r="R30" s="55">
        <f t="shared" si="27"/>
        <v>1.8293694176263522</v>
      </c>
      <c r="S30" s="55">
        <f t="shared" si="27"/>
        <v>5.1568915251407903</v>
      </c>
      <c r="T30" s="55">
        <f t="shared" si="27"/>
        <v>6.0336003123434301</v>
      </c>
      <c r="U30" s="55">
        <f t="shared" si="27"/>
        <v>3.3615007529212324</v>
      </c>
      <c r="V30" s="55">
        <f t="shared" si="27"/>
        <v>5.3188414711053627</v>
      </c>
      <c r="W30" s="55">
        <f t="shared" si="27"/>
        <v>3.5819293299149062</v>
      </c>
      <c r="X30" s="55">
        <f t="shared" si="27"/>
        <v>3.8163775715456012</v>
      </c>
      <c r="Y30" s="55">
        <f t="shared" si="27"/>
        <v>3.1179342972552568</v>
      </c>
      <c r="Z30" s="55">
        <f t="shared" ref="Z30" si="28">Z90</f>
        <v>3.3942520685042066</v>
      </c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</row>
    <row r="31" spans="1:74" s="33" customFormat="1" ht="13.5" x14ac:dyDescent="0.25">
      <c r="A31" s="61" t="s">
        <v>57</v>
      </c>
      <c r="B31" s="55" t="e">
        <f t="shared" ref="B31:X31" si="29">B92</f>
        <v>#VALUE!</v>
      </c>
      <c r="C31" s="55">
        <f t="shared" si="29"/>
        <v>19.153389349083525</v>
      </c>
      <c r="D31" s="55">
        <f t="shared" si="29"/>
        <v>14.058883072083567</v>
      </c>
      <c r="E31" s="55">
        <f t="shared" si="29"/>
        <v>21.824320052587414</v>
      </c>
      <c r="F31" s="55">
        <f t="shared" si="29"/>
        <v>9.0136927632545891</v>
      </c>
      <c r="G31" s="55">
        <f t="shared" si="29"/>
        <v>9.5149436279204078</v>
      </c>
      <c r="H31" s="55">
        <f t="shared" si="29"/>
        <v>9.1500113366481521</v>
      </c>
      <c r="I31" s="55">
        <f t="shared" si="29"/>
        <v>11.223820196681805</v>
      </c>
      <c r="J31" s="55">
        <f t="shared" si="29"/>
        <v>10.073737647693644</v>
      </c>
      <c r="K31" s="55">
        <f t="shared" si="29"/>
        <v>3.3840734762758928</v>
      </c>
      <c r="L31" s="55">
        <f t="shared" si="29"/>
        <v>36.757950722721269</v>
      </c>
      <c r="M31" s="55">
        <f t="shared" si="29"/>
        <v>-30.19571447962311</v>
      </c>
      <c r="N31" s="55">
        <f t="shared" si="29"/>
        <v>-11.558054866330687</v>
      </c>
      <c r="O31" s="55">
        <f t="shared" si="29"/>
        <v>-2.8659488017403651</v>
      </c>
      <c r="P31" s="55">
        <f t="shared" si="29"/>
        <v>-1.483012910720289</v>
      </c>
      <c r="Q31" s="55">
        <f t="shared" si="29"/>
        <v>7.5946290648063721</v>
      </c>
      <c r="R31" s="55">
        <f t="shared" si="29"/>
        <v>1.8293694176263522</v>
      </c>
      <c r="S31" s="55">
        <f t="shared" si="29"/>
        <v>4.8903654906727603</v>
      </c>
      <c r="T31" s="55">
        <f t="shared" si="29"/>
        <v>5.9989342601618327</v>
      </c>
      <c r="U31" s="55">
        <f t="shared" si="29"/>
        <v>3.6549211666768038</v>
      </c>
      <c r="V31" s="55">
        <f t="shared" si="29"/>
        <v>4.4932574100403597</v>
      </c>
      <c r="W31" s="55">
        <f t="shared" si="29"/>
        <v>4.388306157092897</v>
      </c>
      <c r="X31" s="55">
        <f t="shared" si="29"/>
        <v>3.8163775715456012</v>
      </c>
      <c r="Y31" s="55">
        <f>Y92</f>
        <v>3.1179342972552568</v>
      </c>
      <c r="Z31" s="55">
        <f>Z92</f>
        <v>3.3942520685042066</v>
      </c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</row>
    <row r="32" spans="1:74" s="33" customFormat="1" ht="13.5" x14ac:dyDescent="0.25">
      <c r="A32" s="61" t="s">
        <v>58</v>
      </c>
      <c r="B32" s="54" t="e">
        <f t="shared" ref="B32:H32" si="30">-B33*B64%/1000</f>
        <v>#VALUE!</v>
      </c>
      <c r="C32" s="54" t="e">
        <f t="shared" si="30"/>
        <v>#REF!</v>
      </c>
      <c r="D32" s="54" t="e">
        <f t="shared" si="30"/>
        <v>#REF!</v>
      </c>
      <c r="E32" s="54" t="e">
        <f t="shared" si="30"/>
        <v>#REF!</v>
      </c>
      <c r="F32" s="54" t="e">
        <f t="shared" si="30"/>
        <v>#VALUE!</v>
      </c>
      <c r="G32" s="54" t="e">
        <f t="shared" si="30"/>
        <v>#VALUE!</v>
      </c>
      <c r="H32" s="54">
        <f t="shared" si="30"/>
        <v>2.1030804661320666</v>
      </c>
      <c r="I32" s="54">
        <f>-I33*I64%/1000</f>
        <v>5.0510879095484569</v>
      </c>
      <c r="J32" s="54">
        <f t="shared" ref="J32:Y32" si="31">-J33*J64%/1000</f>
        <v>5.5080841088836365</v>
      </c>
      <c r="K32" s="54">
        <f t="shared" si="31"/>
        <v>3.7420830626566133</v>
      </c>
      <c r="L32" s="54">
        <f t="shared" si="31"/>
        <v>28.408031804212964</v>
      </c>
      <c r="M32" s="54">
        <f t="shared" si="31"/>
        <v>-35.75532141366471</v>
      </c>
      <c r="N32" s="54">
        <f t="shared" si="31"/>
        <v>-11.920053061365641</v>
      </c>
      <c r="O32" s="54">
        <f t="shared" si="31"/>
        <v>-4.2055565131148125</v>
      </c>
      <c r="P32" s="54">
        <f t="shared" si="31"/>
        <v>-2.6820800448259452</v>
      </c>
      <c r="Q32" s="54">
        <f t="shared" si="31"/>
        <v>3.4095199057942609</v>
      </c>
      <c r="R32" s="54">
        <f t="shared" si="31"/>
        <v>-0.86946781889499714</v>
      </c>
      <c r="S32" s="54">
        <f t="shared" si="31"/>
        <v>0.25461991352767221</v>
      </c>
      <c r="T32" s="54">
        <f>-T33*T64%/1000</f>
        <v>1.2926202242998934</v>
      </c>
      <c r="U32" s="54">
        <f t="shared" si="31"/>
        <v>-0.15561086476054017</v>
      </c>
      <c r="V32" s="54">
        <f t="shared" si="31"/>
        <v>-0.5078102327923173</v>
      </c>
      <c r="W32" s="54">
        <f t="shared" si="31"/>
        <v>-0.31860836702199008</v>
      </c>
      <c r="X32" s="54">
        <f t="shared" si="31"/>
        <v>-0.61811689132341008</v>
      </c>
      <c r="Y32" s="54">
        <f t="shared" si="31"/>
        <v>-0.58912944670679868</v>
      </c>
      <c r="Z32" s="54">
        <f t="shared" ref="Z32" si="32">-Z33*Z64%/1000</f>
        <v>0.32891796332286305</v>
      </c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</row>
    <row r="33" spans="1:74" s="33" customFormat="1" ht="13.5" x14ac:dyDescent="0.25">
      <c r="A33" s="61" t="s">
        <v>170</v>
      </c>
      <c r="B33" s="54" t="e">
        <f t="shared" ref="B33:K33" si="33">-(B31-B29)*A87/B64</f>
        <v>#VALUE!</v>
      </c>
      <c r="C33" s="54" t="e">
        <f t="shared" si="33"/>
        <v>#REF!</v>
      </c>
      <c r="D33" s="54" t="e">
        <f t="shared" si="33"/>
        <v>#REF!</v>
      </c>
      <c r="E33" s="54" t="e">
        <f t="shared" si="33"/>
        <v>#REF!</v>
      </c>
      <c r="F33" s="54" t="e">
        <f t="shared" si="33"/>
        <v>#VALUE!</v>
      </c>
      <c r="G33" s="54" t="e">
        <f t="shared" si="33"/>
        <v>#VALUE!</v>
      </c>
      <c r="H33" s="54">
        <f t="shared" si="33"/>
        <v>-1.3319403063611912</v>
      </c>
      <c r="I33" s="54">
        <f t="shared" si="33"/>
        <v>-3.0509107933972319</v>
      </c>
      <c r="J33" s="54">
        <f t="shared" si="33"/>
        <v>-3.5104356167919883</v>
      </c>
      <c r="K33" s="54">
        <f t="shared" si="33"/>
        <v>-2.7751819273489615</v>
      </c>
      <c r="L33" s="54">
        <f t="shared" ref="L33:Z33" si="34">-(L31-L29)*K87/L64</f>
        <v>-22.028560642224697</v>
      </c>
      <c r="M33" s="54">
        <f t="shared" si="34"/>
        <v>28.296840258364892</v>
      </c>
      <c r="N33" s="54">
        <f t="shared" si="34"/>
        <v>9.423115828997803</v>
      </c>
      <c r="O33" s="54">
        <f t="shared" si="34"/>
        <v>3.0706682387537967</v>
      </c>
      <c r="P33" s="54">
        <f t="shared" si="34"/>
        <v>1.8032244919428424</v>
      </c>
      <c r="Q33" s="54">
        <f t="shared" si="34"/>
        <v>-2.0961537882366841</v>
      </c>
      <c r="R33" s="54">
        <f>-(R31-R29)*Q87/R64</f>
        <v>0.49505373134298453</v>
      </c>
      <c r="S33" s="54">
        <f t="shared" si="34"/>
        <v>-0.13841423909525277</v>
      </c>
      <c r="T33" s="54">
        <f t="shared" si="34"/>
        <v>-0.67249715121839082</v>
      </c>
      <c r="U33" s="54">
        <f t="shared" si="34"/>
        <v>7.6551895098039696E-2</v>
      </c>
      <c r="V33" s="54">
        <f t="shared" si="34"/>
        <v>0.24929319233790737</v>
      </c>
      <c r="W33" s="54">
        <f t="shared" si="34"/>
        <v>0.1512321666177715</v>
      </c>
      <c r="X33" s="54">
        <f t="shared" si="34"/>
        <v>0.2833773713803599</v>
      </c>
      <c r="Y33" s="54">
        <f t="shared" si="34"/>
        <v>0.26119682851110559</v>
      </c>
      <c r="Z33" s="54">
        <f t="shared" si="34"/>
        <v>-0.14131813676599916</v>
      </c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</row>
    <row r="34" spans="1:74" s="33" customFormat="1" ht="13.5" x14ac:dyDescent="0.25">
      <c r="A34" s="61" t="s">
        <v>59</v>
      </c>
      <c r="B34" s="54" t="e">
        <f t="shared" ref="B34:Z35" si="35">AVERAGE(A32:B32)</f>
        <v>#VALUE!</v>
      </c>
      <c r="C34" s="54" t="e">
        <f t="shared" si="35"/>
        <v>#VALUE!</v>
      </c>
      <c r="D34" s="54" t="e">
        <f t="shared" si="35"/>
        <v>#REF!</v>
      </c>
      <c r="E34" s="54" t="e">
        <f t="shared" si="35"/>
        <v>#REF!</v>
      </c>
      <c r="F34" s="54" t="e">
        <f t="shared" si="35"/>
        <v>#REF!</v>
      </c>
      <c r="G34" s="54" t="e">
        <f t="shared" si="35"/>
        <v>#VALUE!</v>
      </c>
      <c r="H34" s="54" t="e">
        <f t="shared" si="35"/>
        <v>#VALUE!</v>
      </c>
      <c r="I34" s="54">
        <f t="shared" si="35"/>
        <v>3.5770841878402617</v>
      </c>
      <c r="J34" s="54">
        <f t="shared" si="35"/>
        <v>5.2795860092160467</v>
      </c>
      <c r="K34" s="54">
        <f t="shared" si="35"/>
        <v>4.6250835857701249</v>
      </c>
      <c r="L34" s="54">
        <f t="shared" si="35"/>
        <v>16.07505743343479</v>
      </c>
      <c r="M34" s="54">
        <f t="shared" si="35"/>
        <v>-3.673644804725873</v>
      </c>
      <c r="N34" s="54">
        <f t="shared" si="35"/>
        <v>-23.837687237515176</v>
      </c>
      <c r="O34" s="54">
        <f t="shared" si="35"/>
        <v>-8.0628047872402266</v>
      </c>
      <c r="P34" s="54">
        <f t="shared" si="35"/>
        <v>-3.4438182789703786</v>
      </c>
      <c r="Q34" s="54">
        <f t="shared" si="35"/>
        <v>0.36371993048415785</v>
      </c>
      <c r="R34" s="54">
        <f t="shared" si="35"/>
        <v>1.270026043449632</v>
      </c>
      <c r="S34" s="54">
        <f t="shared" si="35"/>
        <v>-0.30742395268366246</v>
      </c>
      <c r="T34" s="54">
        <f t="shared" si="35"/>
        <v>0.77362006891378288</v>
      </c>
      <c r="U34" s="54">
        <f t="shared" si="35"/>
        <v>0.56850467976967667</v>
      </c>
      <c r="V34" s="54">
        <f t="shared" si="35"/>
        <v>-0.33171054877642875</v>
      </c>
      <c r="W34" s="54">
        <f t="shared" si="35"/>
        <v>-0.41320929990715372</v>
      </c>
      <c r="X34" s="54">
        <f t="shared" si="35"/>
        <v>-0.46836262917270011</v>
      </c>
      <c r="Y34" s="54">
        <f t="shared" si="35"/>
        <v>-0.60362316901510438</v>
      </c>
      <c r="Z34" s="54">
        <f t="shared" si="35"/>
        <v>-0.13010574169196781</v>
      </c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</row>
    <row r="35" spans="1:74" s="33" customFormat="1" ht="13.5" x14ac:dyDescent="0.25">
      <c r="A35" s="61" t="s">
        <v>171</v>
      </c>
      <c r="B35" s="54" t="e">
        <f t="shared" si="35"/>
        <v>#VALUE!</v>
      </c>
      <c r="C35" s="54" t="e">
        <f t="shared" si="35"/>
        <v>#VALUE!</v>
      </c>
      <c r="D35" s="54" t="e">
        <f t="shared" si="35"/>
        <v>#REF!</v>
      </c>
      <c r="E35" s="54" t="e">
        <f t="shared" si="35"/>
        <v>#REF!</v>
      </c>
      <c r="F35" s="54" t="e">
        <f t="shared" si="35"/>
        <v>#REF!</v>
      </c>
      <c r="G35" s="54" t="e">
        <f t="shared" si="35"/>
        <v>#VALUE!</v>
      </c>
      <c r="H35" s="54" t="e">
        <f t="shared" si="35"/>
        <v>#VALUE!</v>
      </c>
      <c r="I35" s="54">
        <f t="shared" si="35"/>
        <v>-2.1914255498792117</v>
      </c>
      <c r="J35" s="54">
        <f t="shared" si="35"/>
        <v>-3.2806732050946099</v>
      </c>
      <c r="K35" s="54">
        <f t="shared" si="35"/>
        <v>-3.1428087720704747</v>
      </c>
      <c r="L35" s="54">
        <f t="shared" si="35"/>
        <v>-12.401871284786829</v>
      </c>
      <c r="M35" s="54">
        <f t="shared" si="35"/>
        <v>3.1341398080700973</v>
      </c>
      <c r="N35" s="54">
        <f t="shared" si="35"/>
        <v>18.859978043681348</v>
      </c>
      <c r="O35" s="54">
        <f t="shared" si="35"/>
        <v>6.2468920338757998</v>
      </c>
      <c r="P35" s="54">
        <f t="shared" si="35"/>
        <v>2.4369463653483194</v>
      </c>
      <c r="Q35" s="54">
        <f t="shared" si="35"/>
        <v>-0.14646464814692084</v>
      </c>
      <c r="R35" s="54">
        <f t="shared" si="35"/>
        <v>-0.80055002844684975</v>
      </c>
      <c r="S35" s="54">
        <f t="shared" si="35"/>
        <v>0.17831974612386586</v>
      </c>
      <c r="T35" s="54">
        <f t="shared" si="35"/>
        <v>-0.40545569515682178</v>
      </c>
      <c r="U35" s="54">
        <f t="shared" si="35"/>
        <v>-0.29797262806017555</v>
      </c>
      <c r="V35" s="54">
        <f t="shared" si="35"/>
        <v>0.16292254371797354</v>
      </c>
      <c r="W35" s="54">
        <f t="shared" si="35"/>
        <v>0.20026267947783943</v>
      </c>
      <c r="X35" s="54">
        <f t="shared" si="35"/>
        <v>0.2173047689990657</v>
      </c>
      <c r="Y35" s="54">
        <f t="shared" si="35"/>
        <v>0.27228709994573275</v>
      </c>
      <c r="Z35" s="54">
        <f t="shared" si="35"/>
        <v>5.9939345872553215E-2</v>
      </c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</row>
    <row r="36" spans="1:74" s="33" customFormat="1" ht="13.5" x14ac:dyDescent="0.25">
      <c r="A36" s="58" t="s">
        <v>60</v>
      </c>
      <c r="B36" s="59" t="e">
        <f t="shared" ref="B36:Z36" si="36">B29/100*A87/1000</f>
        <v>#VALUE!</v>
      </c>
      <c r="C36" s="59" t="e">
        <f t="shared" si="36"/>
        <v>#REF!</v>
      </c>
      <c r="D36" s="59" t="e">
        <f t="shared" si="36"/>
        <v>#REF!</v>
      </c>
      <c r="E36" s="59" t="e">
        <f t="shared" si="36"/>
        <v>#REF!</v>
      </c>
      <c r="F36" s="59" t="e">
        <f t="shared" si="36"/>
        <v>#VALUE!</v>
      </c>
      <c r="G36" s="59" t="e">
        <f t="shared" si="36"/>
        <v>#VALUE!</v>
      </c>
      <c r="H36" s="59">
        <f t="shared" si="36"/>
        <v>2.9420883342680444</v>
      </c>
      <c r="I36" s="59">
        <f t="shared" si="36"/>
        <v>1.7038063520295244</v>
      </c>
      <c r="J36" s="59">
        <f t="shared" si="36"/>
        <v>1.235119888885756</v>
      </c>
      <c r="K36" s="59">
        <f t="shared" si="36"/>
        <v>-1.248641699310665</v>
      </c>
      <c r="L36" s="59">
        <f t="shared" si="36"/>
        <v>-0.40762720698592886</v>
      </c>
      <c r="M36" s="59">
        <f t="shared" si="36"/>
        <v>4.2987844109166398</v>
      </c>
      <c r="N36" s="59">
        <f t="shared" si="36"/>
        <v>3.515155241917038</v>
      </c>
      <c r="O36" s="59">
        <f t="shared" si="36"/>
        <v>2.3623482886640725</v>
      </c>
      <c r="P36" s="59">
        <f t="shared" si="36"/>
        <v>1.755629147931022</v>
      </c>
      <c r="Q36" s="59">
        <f t="shared" si="36"/>
        <v>1.3334328469106027</v>
      </c>
      <c r="R36" s="59">
        <f t="shared" si="36"/>
        <v>2.0823280412053347</v>
      </c>
      <c r="S36" s="59">
        <f t="shared" si="36"/>
        <v>3.0114214661716368</v>
      </c>
      <c r="T36" s="59">
        <f t="shared" si="36"/>
        <v>2.9055876607307933</v>
      </c>
      <c r="U36" s="59">
        <f t="shared" si="36"/>
        <v>2.8979811768437034</v>
      </c>
      <c r="V36" s="59">
        <f t="shared" si="36"/>
        <v>4.0454479540906672</v>
      </c>
      <c r="W36" s="59">
        <f t="shared" si="36"/>
        <v>3.9826148451260761</v>
      </c>
      <c r="X36" s="59">
        <f t="shared" si="36"/>
        <v>3.9430894566521562</v>
      </c>
      <c r="Y36" s="59">
        <f t="shared" si="36"/>
        <v>3.4052089453538414</v>
      </c>
      <c r="Z36" s="59">
        <f t="shared" si="36"/>
        <v>2.8316342976659659</v>
      </c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</row>
    <row r="37" spans="1:74" s="33" customFormat="1" ht="13.5" x14ac:dyDescent="0.25">
      <c r="A37" s="53" t="s">
        <v>61</v>
      </c>
      <c r="B37" s="54" t="e">
        <f t="shared" ref="B37" si="37">+B36+B32</f>
        <v>#VALUE!</v>
      </c>
      <c r="C37" s="54">
        <f t="shared" ref="C37:Z37" si="38">C30/100*B86/1000</f>
        <v>5.3428841816724484</v>
      </c>
      <c r="D37" s="54">
        <f t="shared" si="38"/>
        <v>4.6729092009437796</v>
      </c>
      <c r="E37" s="54">
        <f t="shared" si="38"/>
        <v>8.2738255507819858</v>
      </c>
      <c r="F37" s="54">
        <f t="shared" si="38"/>
        <v>4.1629614072205001</v>
      </c>
      <c r="G37" s="54">
        <f t="shared" si="38"/>
        <v>4.7905668497812233</v>
      </c>
      <c r="H37" s="54">
        <f t="shared" si="38"/>
        <v>5.045168800400111</v>
      </c>
      <c r="I37" s="54">
        <f t="shared" si="38"/>
        <v>6.7548942615779826</v>
      </c>
      <c r="J37" s="54">
        <f t="shared" si="38"/>
        <v>6.7432039977693927</v>
      </c>
      <c r="K37" s="54">
        <f t="shared" si="38"/>
        <v>2.4934413633459482</v>
      </c>
      <c r="L37" s="54">
        <f t="shared" si="38"/>
        <v>28.000404597227039</v>
      </c>
      <c r="M37" s="54">
        <f t="shared" si="38"/>
        <v>-31.456537002748068</v>
      </c>
      <c r="N37" s="54">
        <f t="shared" si="38"/>
        <v>-8.404897819448605</v>
      </c>
      <c r="O37" s="54">
        <f t="shared" si="38"/>
        <v>-1.8432082244507402</v>
      </c>
      <c r="P37" s="54">
        <f t="shared" si="38"/>
        <v>-0.9264508968949231</v>
      </c>
      <c r="Q37" s="54">
        <f t="shared" si="38"/>
        <v>4.7429527527048636</v>
      </c>
      <c r="R37" s="54">
        <f t="shared" si="38"/>
        <v>1.2128602223103371</v>
      </c>
      <c r="S37" s="54">
        <f t="shared" si="38"/>
        <v>3.4440413796993088</v>
      </c>
      <c r="T37" s="54">
        <f t="shared" si="38"/>
        <v>4.2332078850306862</v>
      </c>
      <c r="U37" s="54">
        <f t="shared" si="38"/>
        <v>2.5293703120831634</v>
      </c>
      <c r="V37" s="54">
        <f t="shared" si="38"/>
        <v>4.1876377212983495</v>
      </c>
      <c r="W37" s="54">
        <f t="shared" si="38"/>
        <v>3.0140064781040854</v>
      </c>
      <c r="X37" s="54">
        <f t="shared" si="38"/>
        <v>3.3249725653287459</v>
      </c>
      <c r="Y37" s="54">
        <f t="shared" si="38"/>
        <v>2.816079498647043</v>
      </c>
      <c r="Z37" s="54">
        <f t="shared" si="38"/>
        <v>3.1605522609888288</v>
      </c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</row>
    <row r="38" spans="1:74" s="33" customFormat="1" ht="13.5" x14ac:dyDescent="0.25">
      <c r="A38" s="53" t="s">
        <v>62</v>
      </c>
      <c r="B38" s="54"/>
      <c r="C38" s="54"/>
      <c r="D38" s="54"/>
      <c r="E38" s="54"/>
      <c r="F38" s="54"/>
      <c r="G38" s="54"/>
      <c r="H38" s="54"/>
      <c r="I38" s="54"/>
      <c r="J38" s="54"/>
      <c r="K38" s="54">
        <f t="shared" ref="K38:Z38" si="39">K31/100*J87/1000</f>
        <v>2.4934413633459482</v>
      </c>
      <c r="L38" s="54">
        <f t="shared" si="39"/>
        <v>28.000404597227039</v>
      </c>
      <c r="M38" s="54">
        <f t="shared" si="39"/>
        <v>-31.456537002748068</v>
      </c>
      <c r="N38" s="54">
        <f t="shared" si="39"/>
        <v>-8.404897819448605</v>
      </c>
      <c r="O38" s="54">
        <f t="shared" si="39"/>
        <v>-1.8432082244507402</v>
      </c>
      <c r="P38" s="54">
        <f t="shared" si="39"/>
        <v>-0.9264508968949231</v>
      </c>
      <c r="Q38" s="54">
        <f t="shared" si="39"/>
        <v>4.7429527527048636</v>
      </c>
      <c r="R38" s="54">
        <f t="shared" si="39"/>
        <v>1.2128602223103371</v>
      </c>
      <c r="S38" s="54">
        <f t="shared" si="39"/>
        <v>3.2660413796993089</v>
      </c>
      <c r="T38" s="54">
        <f t="shared" si="39"/>
        <v>4.1982078850306861</v>
      </c>
      <c r="U38" s="54">
        <f t="shared" si="39"/>
        <v>2.7423703120831631</v>
      </c>
      <c r="V38" s="54">
        <f t="shared" si="39"/>
        <v>3.5376377212983496</v>
      </c>
      <c r="W38" s="54">
        <f t="shared" si="39"/>
        <v>3.6640064781040862</v>
      </c>
      <c r="X38" s="54">
        <f t="shared" si="39"/>
        <v>3.3249725653287459</v>
      </c>
      <c r="Y38" s="54">
        <f t="shared" si="39"/>
        <v>2.816079498647043</v>
      </c>
      <c r="Z38" s="54">
        <f t="shared" si="39"/>
        <v>3.1605522609888288</v>
      </c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</row>
    <row r="39" spans="1:74" s="33" customFormat="1" ht="13.5" x14ac:dyDescent="0.25">
      <c r="A39" s="50" t="s">
        <v>63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</row>
    <row r="40" spans="1:74" s="33" customFormat="1" ht="13.5" x14ac:dyDescent="0.2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</row>
    <row r="41" spans="1:74" s="33" customFormat="1" ht="13.5" x14ac:dyDescent="0.25">
      <c r="A41" s="53" t="s">
        <v>64</v>
      </c>
      <c r="B41" s="64"/>
      <c r="C41" s="64">
        <f>'Forecast Estimates'!C6</f>
        <v>5.2786329516759434</v>
      </c>
      <c r="D41" s="64">
        <f>'Forecast Estimates'!D6</f>
        <v>5.9201577131591909</v>
      </c>
      <c r="E41" s="64">
        <f>'Forecast Estimates'!E6</f>
        <v>3.0195304744887741</v>
      </c>
      <c r="F41" s="64">
        <f>'Forecast Estimates'!F6</f>
        <v>6.7214289585729725</v>
      </c>
      <c r="G41" s="64">
        <f>'Forecast Estimates'!G6</f>
        <v>5.7005168950184038</v>
      </c>
      <c r="H41" s="64">
        <f>'Forecast Estimates'!H6</f>
        <v>5.0706300650245062</v>
      </c>
      <c r="I41" s="64">
        <f>'Forecast Estimates'!I6</f>
        <v>5.3243704652155444</v>
      </c>
      <c r="J41" s="64">
        <f>'Forecast Estimates'!J6</f>
        <v>-4.4806576262355851</v>
      </c>
      <c r="K41" s="64">
        <f>'Forecast Estimates'!K6</f>
        <v>-5.0792159714751817</v>
      </c>
      <c r="L41" s="64">
        <f>'Forecast Estimates'!L6</f>
        <v>1.8100943888138099</v>
      </c>
      <c r="M41" s="64">
        <f>'Forecast Estimates'!M6</f>
        <v>0.3433534711624997</v>
      </c>
      <c r="N41" s="64">
        <f>'Forecast Estimates'!N6</f>
        <v>0.22603578031821225</v>
      </c>
      <c r="O41" s="64">
        <f>'Forecast Estimates'!O6</f>
        <v>1.3515971294799867</v>
      </c>
      <c r="P41" s="64">
        <f>'Forecast Estimates'!P6</f>
        <v>8.5567063166529955</v>
      </c>
      <c r="Q41" s="64">
        <f>'Forecast Estimates'!Q6</f>
        <v>25.162353763537347</v>
      </c>
      <c r="R41" s="64">
        <f>'Forecast Estimates'!R6</f>
        <v>3.6780438104941471</v>
      </c>
      <c r="S41" s="64">
        <f>'Forecast Estimates'!S6</f>
        <v>8.1451636384812574</v>
      </c>
      <c r="T41" s="64">
        <f>'Forecast Estimates'!T6</f>
        <v>8.1697971601751398</v>
      </c>
      <c r="U41" s="64">
        <f>'Forecast Estimates'!U6</f>
        <v>5.4591212188417781</v>
      </c>
      <c r="V41" s="64">
        <f>'Forecast Estimates'!V6</f>
        <v>0.71961994123344031</v>
      </c>
      <c r="W41" s="64">
        <f>'Forecast Estimates'!W6</f>
        <v>2.4705972130613318</v>
      </c>
      <c r="X41" s="64">
        <f>'Forecast Estimates'!X6</f>
        <v>2.8311544434387548</v>
      </c>
      <c r="Y41" s="64">
        <f>'Forecast Estimates'!Y6</f>
        <v>2.705577453776975</v>
      </c>
      <c r="Z41" s="64">
        <f>'Forecast Estimates'!Z6</f>
        <v>2.6477417881965559</v>
      </c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</row>
    <row r="42" spans="1:74" s="33" customFormat="1" ht="13.5" x14ac:dyDescent="0.25">
      <c r="A42" s="53" t="s">
        <v>65</v>
      </c>
      <c r="B42" s="64">
        <f>'Forecast Estimates'!B13</f>
        <v>6.6429425952625651</v>
      </c>
      <c r="C42" s="64">
        <f>'Forecast Estimates'!C13</f>
        <v>5.4012865394022693</v>
      </c>
      <c r="D42" s="64">
        <f>'Forecast Estimates'!D13</f>
        <v>4.9260398753027204</v>
      </c>
      <c r="E42" s="64">
        <f>'Forecast Estimates'!E13</f>
        <v>4.9430113642996503</v>
      </c>
      <c r="F42" s="64">
        <f>'Forecast Estimates'!F13</f>
        <v>4.9184611745399547</v>
      </c>
      <c r="G42" s="64">
        <f>'Forecast Estimates'!G13</f>
        <v>4.2256725358457405</v>
      </c>
      <c r="H42" s="64">
        <f>'Forecast Estimates'!H13</f>
        <v>3.5195228412402297</v>
      </c>
      <c r="I42" s="64">
        <f>'Forecast Estimates'!I13</f>
        <v>2.4667194727648849</v>
      </c>
      <c r="J42" s="64">
        <f>'Forecast Estimates'!J13</f>
        <v>1.5934641438081951</v>
      </c>
      <c r="K42" s="64">
        <f>'Forecast Estimates'!K13</f>
        <v>2.4666558503399498</v>
      </c>
      <c r="L42" s="64">
        <f>'Forecast Estimates'!L13</f>
        <v>3.0966400625984201</v>
      </c>
      <c r="M42" s="64">
        <f>'Forecast Estimates'!M13</f>
        <v>1.9324271856425099</v>
      </c>
      <c r="N42" s="64">
        <f>'Forecast Estimates'!N13</f>
        <v>0.96359263238917303</v>
      </c>
      <c r="O42" s="64">
        <f>'Forecast Estimates'!O13</f>
        <v>1.8389194754689702</v>
      </c>
      <c r="P42" s="64">
        <f>'Forecast Estimates'!P13</f>
        <v>3.8552933488468248</v>
      </c>
      <c r="Q42" s="64">
        <f>'Forecast Estimates'!Q13</f>
        <v>18.966246287352853</v>
      </c>
      <c r="R42" s="64">
        <f>'Forecast Estimates'!R13</f>
        <v>2.7026511880236401</v>
      </c>
      <c r="S42" s="64">
        <f>'Forecast Estimates'!S13</f>
        <v>7.6650871630950395</v>
      </c>
      <c r="T42" s="64">
        <f>'Forecast Estimates'!T13</f>
        <v>5.3143677984138549</v>
      </c>
      <c r="U42" s="64">
        <f>'Forecast Estimates'!U13</f>
        <v>4.0185687754818549</v>
      </c>
      <c r="V42" s="64">
        <f>'Forecast Estimates'!V13</f>
        <v>2.0204199242895298</v>
      </c>
      <c r="W42" s="64">
        <f>'Forecast Estimates'!W13</f>
        <v>1.5757335508940147</v>
      </c>
      <c r="X42" s="64">
        <f>'Forecast Estimates'!X13</f>
        <v>2.051777511988615</v>
      </c>
      <c r="Y42" s="64">
        <f>'Forecast Estimates'!Y13</f>
        <v>2.0265119170178001</v>
      </c>
      <c r="Z42" s="64">
        <f>'Forecast Estimates'!Z13</f>
        <v>2.3544896191347053</v>
      </c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</row>
    <row r="43" spans="1:74" s="33" customFormat="1" ht="13.5" x14ac:dyDescent="0.25">
      <c r="A43" s="53" t="s">
        <v>66</v>
      </c>
      <c r="B43" s="64">
        <f>B69</f>
        <v>4.2775785000000006</v>
      </c>
      <c r="C43" s="64">
        <f t="shared" ref="C43:Y43" si="40">C69</f>
        <v>3.8524235</v>
      </c>
      <c r="D43" s="64">
        <f t="shared" si="40"/>
        <v>4.5818095000000003</v>
      </c>
      <c r="E43" s="64">
        <f t="shared" si="40"/>
        <v>2.4145655000000001</v>
      </c>
      <c r="F43" s="64">
        <f t="shared" si="40"/>
        <v>3.9214595000000001</v>
      </c>
      <c r="G43" s="64">
        <f t="shared" si="40"/>
        <v>5.2034514999999999</v>
      </c>
      <c r="H43" s="64">
        <f t="shared" si="40"/>
        <v>6.6476740000000003</v>
      </c>
      <c r="I43" s="64">
        <f t="shared" si="40"/>
        <v>9.5546825000000002</v>
      </c>
      <c r="J43" s="64">
        <f t="shared" si="40"/>
        <v>2.9798315</v>
      </c>
      <c r="K43" s="64">
        <f t="shared" si="40"/>
        <v>-4.6568065000000001</v>
      </c>
      <c r="L43" s="64">
        <f t="shared" si="40"/>
        <v>-5.9260335000000008</v>
      </c>
      <c r="M43" s="64">
        <f t="shared" si="40"/>
        <v>-7.4266850000000009</v>
      </c>
      <c r="N43" s="64">
        <f t="shared" si="40"/>
        <v>-8.1260674999999996</v>
      </c>
      <c r="O43" s="64">
        <f t="shared" si="40"/>
        <v>-8.6066289999999999</v>
      </c>
      <c r="P43" s="64">
        <f t="shared" si="40"/>
        <v>-4.6151774999999997</v>
      </c>
      <c r="Q43" s="64">
        <f t="shared" si="40"/>
        <v>-3.2627364999999999</v>
      </c>
      <c r="R43" s="64">
        <f t="shared" si="40"/>
        <v>-2.4043945</v>
      </c>
      <c r="S43" s="64">
        <f t="shared" si="40"/>
        <v>-2.5350075000000003</v>
      </c>
      <c r="T43" s="64">
        <f t="shared" si="40"/>
        <v>-0.17638050000000005</v>
      </c>
      <c r="U43" s="64">
        <f t="shared" si="40"/>
        <v>1.0356654999999999</v>
      </c>
      <c r="V43" s="64">
        <f t="shared" si="40"/>
        <v>-0.29526149999999995</v>
      </c>
      <c r="W43" s="64">
        <f t="shared" si="40"/>
        <v>0.54706750000000004</v>
      </c>
      <c r="X43" s="64">
        <f t="shared" si="40"/>
        <v>1.2654974999999999</v>
      </c>
      <c r="Y43" s="64">
        <f t="shared" si="40"/>
        <v>1.889877</v>
      </c>
      <c r="Z43" s="64">
        <f t="shared" ref="Z43" si="41">Z69</f>
        <v>2.1167075</v>
      </c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</row>
    <row r="44" spans="1:74" s="33" customFormat="1" ht="13.5" x14ac:dyDescent="0.25">
      <c r="A44" s="53" t="s">
        <v>67</v>
      </c>
      <c r="B44" s="64"/>
      <c r="C44" s="64">
        <f t="shared" ref="C44:Y44" si="42">C94</f>
        <v>6.8868974150514184</v>
      </c>
      <c r="D44" s="64">
        <f t="shared" si="42"/>
        <v>5.2491706746798483</v>
      </c>
      <c r="E44" s="64">
        <f t="shared" si="42"/>
        <v>3.9200603321697836</v>
      </c>
      <c r="F44" s="64">
        <f t="shared" si="42"/>
        <v>0.51729093966270678</v>
      </c>
      <c r="G44" s="64">
        <f t="shared" si="42"/>
        <v>3.1161649077992681</v>
      </c>
      <c r="H44" s="64">
        <f t="shared" si="42"/>
        <v>3.4546280537661955</v>
      </c>
      <c r="I44" s="64">
        <f t="shared" si="42"/>
        <v>1.2103205307623766</v>
      </c>
      <c r="J44" s="64">
        <f t="shared" si="42"/>
        <v>-0.31696451492468913</v>
      </c>
      <c r="K44" s="64">
        <f t="shared" si="42"/>
        <v>-4.5619281435162478</v>
      </c>
      <c r="L44" s="64">
        <f t="shared" si="42"/>
        <v>-3.1458534548861494</v>
      </c>
      <c r="M44" s="64">
        <f t="shared" si="42"/>
        <v>1.4967129597211359</v>
      </c>
      <c r="N44" s="64">
        <f t="shared" si="42"/>
        <v>2.2795388731627897</v>
      </c>
      <c r="O44" s="64">
        <f t="shared" si="42"/>
        <v>1.2272380195011756</v>
      </c>
      <c r="P44" s="64">
        <f t="shared" si="42"/>
        <v>-0.11078276839463497</v>
      </c>
      <c r="Q44" s="64">
        <f t="shared" si="42"/>
        <v>-0.20513680627906594</v>
      </c>
      <c r="R44" s="64">
        <f t="shared" si="42"/>
        <v>-0.29949084416349692</v>
      </c>
      <c r="S44" s="64">
        <f t="shared" si="42"/>
        <v>1.1292531028695096</v>
      </c>
      <c r="T44" s="64">
        <f t="shared" si="42"/>
        <v>0.81890194955911433</v>
      </c>
      <c r="U44" s="64">
        <f t="shared" si="42"/>
        <v>0.43088458481728154</v>
      </c>
      <c r="V44" s="64">
        <f t="shared" si="42"/>
        <v>1.6459509265629002</v>
      </c>
      <c r="W44" s="64">
        <f t="shared" si="42"/>
        <v>1.4373891321334487</v>
      </c>
      <c r="X44" s="64">
        <f t="shared" si="42"/>
        <v>1.3799170697606833</v>
      </c>
      <c r="Y44" s="64">
        <f t="shared" si="42"/>
        <v>1.3874075065220204</v>
      </c>
      <c r="Z44" s="64">
        <f t="shared" ref="Z44" si="43">Z94</f>
        <v>1.3730061434860552</v>
      </c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</row>
    <row r="45" spans="1:74" s="33" customFormat="1" ht="13.5" x14ac:dyDescent="0.25">
      <c r="A45" s="53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</row>
    <row r="46" spans="1:74" s="33" customFormat="1" ht="13.5" x14ac:dyDescent="0.25">
      <c r="A46" s="50" t="s">
        <v>68</v>
      </c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</row>
    <row r="47" spans="1:74" s="26" customFormat="1" ht="13.5" x14ac:dyDescent="0.25"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</row>
    <row r="48" spans="1:74" s="26" customFormat="1" ht="13.5" x14ac:dyDescent="0.25">
      <c r="A48" s="26" t="s">
        <v>69</v>
      </c>
      <c r="B48" s="40">
        <f>(B59+B60)/B65*100</f>
        <v>6.7964569108691641</v>
      </c>
      <c r="C48" s="40">
        <f t="shared" ref="C48:Y48" si="44">(C59+C60)/C65*100</f>
        <v>2.39424724702564</v>
      </c>
      <c r="D48" s="40">
        <f t="shared" si="44"/>
        <v>0.79288025889967628</v>
      </c>
      <c r="E48" s="40">
        <f t="shared" si="44"/>
        <v>1.559537222787106</v>
      </c>
      <c r="F48" s="40">
        <f t="shared" si="44"/>
        <v>2.3913976290964052</v>
      </c>
      <c r="G48" s="40">
        <f t="shared" si="44"/>
        <v>2.588916897295328</v>
      </c>
      <c r="H48" s="40">
        <f t="shared" si="44"/>
        <v>3.7693114371276906</v>
      </c>
      <c r="I48" s="40">
        <f t="shared" si="44"/>
        <v>1.2697639983367308</v>
      </c>
      <c r="J48" s="40">
        <f t="shared" si="44"/>
        <v>-5.7379013575190791</v>
      </c>
      <c r="K48" s="40">
        <f t="shared" si="44"/>
        <v>-11.816509015232127</v>
      </c>
      <c r="L48" s="40">
        <f t="shared" si="44"/>
        <v>-29.2287697040517</v>
      </c>
      <c r="M48" s="40">
        <f t="shared" si="44"/>
        <v>-9.4651313902369072</v>
      </c>
      <c r="N48" s="40">
        <f t="shared" si="44"/>
        <v>-3.9242559217889856</v>
      </c>
      <c r="O48" s="40">
        <f t="shared" si="44"/>
        <v>-1.8534907408953532</v>
      </c>
      <c r="P48" s="40">
        <f t="shared" si="44"/>
        <v>0.24741040355613958</v>
      </c>
      <c r="Q48" s="40">
        <f t="shared" si="44"/>
        <v>0.65707122012837049</v>
      </c>
      <c r="R48" s="40">
        <f t="shared" si="44"/>
        <v>1.5779361316823959</v>
      </c>
      <c r="S48" s="40">
        <f t="shared" si="44"/>
        <v>1.6595373757702832</v>
      </c>
      <c r="T48" s="40">
        <f t="shared" si="44"/>
        <v>1.6677056394620384</v>
      </c>
      <c r="U48" s="40">
        <f t="shared" si="44"/>
        <v>1.5588574505620445</v>
      </c>
      <c r="V48" s="40">
        <f t="shared" si="44"/>
        <v>0.56921777737421453</v>
      </c>
      <c r="W48" s="40">
        <f t="shared" si="44"/>
        <v>0.81321911622998766</v>
      </c>
      <c r="X48" s="40">
        <f t="shared" si="44"/>
        <v>1.067665074976426</v>
      </c>
      <c r="Y48" s="40">
        <f t="shared" si="44"/>
        <v>1.3960920847992215</v>
      </c>
      <c r="Z48" s="40">
        <f t="shared" ref="Z48" si="45">(Z59+Z60)/Z65*100</f>
        <v>1.6991930878189783</v>
      </c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</row>
    <row r="49" spans="1:74" s="26" customFormat="1" ht="13.5" x14ac:dyDescent="0.25">
      <c r="A49" s="26" t="s">
        <v>70</v>
      </c>
      <c r="B49" s="40">
        <f>B72/B65*100</f>
        <v>0</v>
      </c>
      <c r="C49" s="40">
        <f t="shared" ref="C49:W49" si="46">C72/C65*100</f>
        <v>0</v>
      </c>
      <c r="D49" s="40">
        <f t="shared" si="46"/>
        <v>0</v>
      </c>
      <c r="E49" s="40">
        <f t="shared" si="46"/>
        <v>0</v>
      </c>
      <c r="F49" s="40">
        <f t="shared" si="46"/>
        <v>0</v>
      </c>
      <c r="G49" s="40">
        <f t="shared" si="46"/>
        <v>0</v>
      </c>
      <c r="H49" s="40">
        <f t="shared" si="46"/>
        <v>0</v>
      </c>
      <c r="I49" s="40">
        <f t="shared" si="46"/>
        <v>0</v>
      </c>
      <c r="J49" s="40">
        <f t="shared" si="46"/>
        <v>0</v>
      </c>
      <c r="K49" s="40">
        <f t="shared" si="46"/>
        <v>-2.351544082633259</v>
      </c>
      <c r="L49" s="40">
        <f t="shared" si="46"/>
        <v>-21.099134333341283</v>
      </c>
      <c r="M49" s="40">
        <f t="shared" si="46"/>
        <v>-3.9472682889707129</v>
      </c>
      <c r="N49" s="40">
        <f t="shared" si="46"/>
        <v>0</v>
      </c>
      <c r="O49" s="40">
        <f t="shared" si="46"/>
        <v>0.40075475478818445</v>
      </c>
      <c r="P49" s="40">
        <f t="shared" si="46"/>
        <v>-9.2393926639222246E-2</v>
      </c>
      <c r="Q49" s="40">
        <f t="shared" si="46"/>
        <v>-0.80317159565199192</v>
      </c>
      <c r="R49" s="40">
        <f t="shared" si="46"/>
        <v>0.14134067519618379</v>
      </c>
      <c r="S49" s="40">
        <f t="shared" si="46"/>
        <v>-5.990623664309682E-2</v>
      </c>
      <c r="T49" s="40">
        <f t="shared" si="46"/>
        <v>2.6848702929903285E-2</v>
      </c>
      <c r="U49" s="40">
        <f t="shared" si="46"/>
        <v>0</v>
      </c>
      <c r="V49" s="40">
        <f t="shared" si="46"/>
        <v>-0.18499577764661976</v>
      </c>
      <c r="W49" s="40">
        <f t="shared" si="46"/>
        <v>0</v>
      </c>
      <c r="X49" s="40">
        <f>X72/X65*100</f>
        <v>0</v>
      </c>
      <c r="Y49" s="40">
        <f>Y72/Y65*100</f>
        <v>0</v>
      </c>
      <c r="Z49" s="40">
        <f>Z72/Z65*100</f>
        <v>0</v>
      </c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</row>
    <row r="50" spans="1:74" s="26" customFormat="1" ht="13.5" x14ac:dyDescent="0.25">
      <c r="A50" s="26" t="s">
        <v>71</v>
      </c>
      <c r="B50" s="40">
        <f>B48-B49</f>
        <v>6.7964569108691641</v>
      </c>
      <c r="C50" s="40">
        <f t="shared" ref="C50:W50" si="47">C48-C49</f>
        <v>2.39424724702564</v>
      </c>
      <c r="D50" s="40">
        <f t="shared" si="47"/>
        <v>0.79288025889967628</v>
      </c>
      <c r="E50" s="40">
        <f t="shared" si="47"/>
        <v>1.559537222787106</v>
      </c>
      <c r="F50" s="40">
        <f t="shared" si="47"/>
        <v>2.3913976290964052</v>
      </c>
      <c r="G50" s="40">
        <f t="shared" si="47"/>
        <v>2.588916897295328</v>
      </c>
      <c r="H50" s="40">
        <f t="shared" si="47"/>
        <v>3.7693114371276906</v>
      </c>
      <c r="I50" s="40">
        <f t="shared" si="47"/>
        <v>1.2697639983367308</v>
      </c>
      <c r="J50" s="40">
        <f t="shared" si="47"/>
        <v>-5.7379013575190791</v>
      </c>
      <c r="K50" s="40">
        <f t="shared" si="47"/>
        <v>-9.4649649325988676</v>
      </c>
      <c r="L50" s="40">
        <f t="shared" si="47"/>
        <v>-8.1296353707104174</v>
      </c>
      <c r="M50" s="40">
        <f t="shared" si="47"/>
        <v>-5.5178631012661938</v>
      </c>
      <c r="N50" s="40">
        <f t="shared" si="47"/>
        <v>-3.9242559217889856</v>
      </c>
      <c r="O50" s="40">
        <f t="shared" si="47"/>
        <v>-2.2542454956835378</v>
      </c>
      <c r="P50" s="40">
        <f t="shared" si="47"/>
        <v>0.33980433019536183</v>
      </c>
      <c r="Q50" s="40">
        <f t="shared" si="47"/>
        <v>1.4602428157803624</v>
      </c>
      <c r="R50" s="40">
        <f t="shared" si="47"/>
        <v>1.436595456486212</v>
      </c>
      <c r="S50" s="40">
        <f t="shared" si="47"/>
        <v>1.7194436124133801</v>
      </c>
      <c r="T50" s="40">
        <f t="shared" si="47"/>
        <v>1.640856936532135</v>
      </c>
      <c r="U50" s="40">
        <f t="shared" si="47"/>
        <v>1.5588574505620445</v>
      </c>
      <c r="V50" s="40">
        <f t="shared" si="47"/>
        <v>0.75421355502083431</v>
      </c>
      <c r="W50" s="40">
        <f t="shared" si="47"/>
        <v>0.81321911622998766</v>
      </c>
      <c r="X50" s="40">
        <f>X48-X49</f>
        <v>1.067665074976426</v>
      </c>
      <c r="Y50" s="40">
        <f>Y48-Y49</f>
        <v>1.3960920847992215</v>
      </c>
      <c r="Z50" s="40">
        <f>Z48-Z49</f>
        <v>1.6991930878189783</v>
      </c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</row>
    <row r="51" spans="1:74" s="26" customFormat="1" ht="13.5" x14ac:dyDescent="0.25">
      <c r="A51" s="26" t="s">
        <v>72</v>
      </c>
      <c r="B51" s="40">
        <f>B69</f>
        <v>4.2775785000000006</v>
      </c>
      <c r="C51" s="40">
        <f t="shared" ref="C51:W51" si="48">C69</f>
        <v>3.8524235</v>
      </c>
      <c r="D51" s="40">
        <f t="shared" si="48"/>
        <v>4.5818095000000003</v>
      </c>
      <c r="E51" s="40">
        <f t="shared" si="48"/>
        <v>2.4145655000000001</v>
      </c>
      <c r="F51" s="40">
        <f t="shared" si="48"/>
        <v>3.9214595000000001</v>
      </c>
      <c r="G51" s="40">
        <f t="shared" si="48"/>
        <v>5.2034514999999999</v>
      </c>
      <c r="H51" s="40">
        <f t="shared" si="48"/>
        <v>6.6476740000000003</v>
      </c>
      <c r="I51" s="40">
        <f t="shared" si="48"/>
        <v>9.5546825000000002</v>
      </c>
      <c r="J51" s="40">
        <f t="shared" si="48"/>
        <v>2.9798315</v>
      </c>
      <c r="K51" s="40">
        <f t="shared" si="48"/>
        <v>-4.6568065000000001</v>
      </c>
      <c r="L51" s="40">
        <f t="shared" si="48"/>
        <v>-5.9260335000000008</v>
      </c>
      <c r="M51" s="40">
        <f t="shared" si="48"/>
        <v>-7.4266850000000009</v>
      </c>
      <c r="N51" s="40">
        <f t="shared" si="48"/>
        <v>-8.1260674999999996</v>
      </c>
      <c r="O51" s="40">
        <f t="shared" si="48"/>
        <v>-8.6066289999999999</v>
      </c>
      <c r="P51" s="40">
        <f t="shared" si="48"/>
        <v>-4.6151774999999997</v>
      </c>
      <c r="Q51" s="40">
        <f t="shared" si="48"/>
        <v>-3.2627364999999999</v>
      </c>
      <c r="R51" s="40">
        <f t="shared" si="48"/>
        <v>-2.4043945</v>
      </c>
      <c r="S51" s="40">
        <f t="shared" si="48"/>
        <v>-2.5350075000000003</v>
      </c>
      <c r="T51" s="40">
        <f t="shared" si="48"/>
        <v>-0.17638050000000005</v>
      </c>
      <c r="U51" s="40">
        <f t="shared" si="48"/>
        <v>1.0356654999999999</v>
      </c>
      <c r="V51" s="40">
        <f t="shared" si="48"/>
        <v>-0.29526149999999995</v>
      </c>
      <c r="W51" s="40">
        <f t="shared" si="48"/>
        <v>0.54706750000000004</v>
      </c>
      <c r="X51" s="40">
        <f>X69</f>
        <v>1.2654974999999999</v>
      </c>
      <c r="Y51" s="40">
        <f>Y69</f>
        <v>1.889877</v>
      </c>
      <c r="Z51" s="40">
        <f>Z69</f>
        <v>2.1167075</v>
      </c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</row>
    <row r="52" spans="1:74" s="26" customFormat="1" ht="13.5" x14ac:dyDescent="0.25">
      <c r="A52" s="26" t="s">
        <v>68</v>
      </c>
      <c r="B52" s="40">
        <f>B50-0.588*B51</f>
        <v>4.2812407528691638</v>
      </c>
      <c r="C52" s="40">
        <f t="shared" ref="C52:Y52" si="49">C50-0.588*C51</f>
        <v>0.1290222290256402</v>
      </c>
      <c r="D52" s="40">
        <f t="shared" si="49"/>
        <v>-1.9012237271003238</v>
      </c>
      <c r="E52" s="40">
        <f t="shared" si="49"/>
        <v>0.13977270878710613</v>
      </c>
      <c r="F52" s="40">
        <f t="shared" si="49"/>
        <v>8.5579443096405416E-2</v>
      </c>
      <c r="G52" s="40">
        <f t="shared" si="49"/>
        <v>-0.47071258470467159</v>
      </c>
      <c r="H52" s="40">
        <f t="shared" si="49"/>
        <v>-0.13952087487230935</v>
      </c>
      <c r="I52" s="40">
        <f t="shared" si="49"/>
        <v>-4.3483893116632686</v>
      </c>
      <c r="J52" s="40">
        <f t="shared" si="49"/>
        <v>-7.4900422795190789</v>
      </c>
      <c r="K52" s="40">
        <f t="shared" si="49"/>
        <v>-6.7267627105988677</v>
      </c>
      <c r="L52" s="40">
        <f t="shared" si="49"/>
        <v>-4.6451276727104176</v>
      </c>
      <c r="M52" s="40">
        <f t="shared" si="49"/>
        <v>-1.1509723212661935</v>
      </c>
      <c r="N52" s="40">
        <f t="shared" si="49"/>
        <v>0.85387176821101418</v>
      </c>
      <c r="O52" s="40">
        <f t="shared" si="49"/>
        <v>2.8064523563164618</v>
      </c>
      <c r="P52" s="40">
        <f t="shared" si="49"/>
        <v>3.0535287001953613</v>
      </c>
      <c r="Q52" s="40">
        <f t="shared" si="49"/>
        <v>3.3787318777803623</v>
      </c>
      <c r="R52" s="40">
        <f t="shared" si="49"/>
        <v>2.850379422486212</v>
      </c>
      <c r="S52" s="40">
        <f t="shared" si="49"/>
        <v>3.2100280224133799</v>
      </c>
      <c r="T52" s="40">
        <f t="shared" si="49"/>
        <v>1.744568670532135</v>
      </c>
      <c r="U52" s="40">
        <f t="shared" si="49"/>
        <v>0.94988613656204457</v>
      </c>
      <c r="V52" s="40">
        <f t="shared" si="49"/>
        <v>0.92782731702083432</v>
      </c>
      <c r="W52" s="40">
        <f t="shared" si="49"/>
        <v>0.49154342622998765</v>
      </c>
      <c r="X52" s="40">
        <f t="shared" si="49"/>
        <v>0.32355254497642616</v>
      </c>
      <c r="Y52" s="40">
        <f t="shared" si="49"/>
        <v>0.28484440879922168</v>
      </c>
      <c r="Z52" s="40">
        <f t="shared" ref="Z52" si="50">Z50-0.588*Z51</f>
        <v>0.45456907781897837</v>
      </c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  <c r="BU52" s="65"/>
      <c r="BV52" s="65"/>
    </row>
    <row r="53" spans="1:74" s="26" customFormat="1" ht="13.5" x14ac:dyDescent="0.25"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</row>
    <row r="54" spans="1:74" s="26" customFormat="1" ht="13.5" x14ac:dyDescent="0.25">
      <c r="A54" s="50" t="s">
        <v>75</v>
      </c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</row>
    <row r="55" spans="1:74" s="26" customFormat="1" ht="13.5" x14ac:dyDescent="0.25"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</row>
    <row r="56" spans="1:74" s="26" customFormat="1" ht="13.5" x14ac:dyDescent="0.25">
      <c r="A56" s="66" t="s">
        <v>76</v>
      </c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</row>
    <row r="57" spans="1:74" s="26" customFormat="1" ht="13.5" x14ac:dyDescent="0.25">
      <c r="A57" s="26" t="s">
        <v>77</v>
      </c>
      <c r="B57" s="31">
        <f>'Forecast Estimates'!B17</f>
        <v>38745</v>
      </c>
      <c r="C57" s="31">
        <f>'Forecast Estimates'!C17</f>
        <v>40815</v>
      </c>
      <c r="D57" s="31">
        <f>'Forecast Estimates'!D17</f>
        <v>44448</v>
      </c>
      <c r="E57" s="31">
        <f>'Forecast Estimates'!E17</f>
        <v>48551</v>
      </c>
      <c r="F57" s="31">
        <f>'Forecast Estimates'!F17</f>
        <v>53838</v>
      </c>
      <c r="G57" s="31">
        <f>'Forecast Estimates'!G17</f>
        <v>59459</v>
      </c>
      <c r="H57" s="31">
        <f>'Forecast Estimates'!H17</f>
        <v>67791</v>
      </c>
      <c r="I57" s="31">
        <f>'Forecast Estimates'!I17</f>
        <v>71394</v>
      </c>
      <c r="J57" s="31">
        <f>'Forecast Estimates'!J17</f>
        <v>65392</v>
      </c>
      <c r="K57" s="31">
        <f>'Forecast Estimates'!K17</f>
        <v>56511</v>
      </c>
      <c r="L57" s="31">
        <f>'Forecast Estimates'!L17</f>
        <v>55386</v>
      </c>
      <c r="M57" s="31">
        <f>'Forecast Estimates'!M17</f>
        <v>57759</v>
      </c>
      <c r="N57" s="31">
        <f>'Forecast Estimates'!N17</f>
        <v>59516</v>
      </c>
      <c r="O57" s="31">
        <f>'Forecast Estimates'!O17</f>
        <v>61517</v>
      </c>
      <c r="P57" s="31">
        <f>'Forecast Estimates'!P17</f>
        <v>66038</v>
      </c>
      <c r="Q57" s="31">
        <f>'Forecast Estimates'!Q17</f>
        <v>70884</v>
      </c>
      <c r="R57" s="31">
        <f>'Forecast Estimates'!R17</f>
        <v>73481</v>
      </c>
      <c r="S57" s="31">
        <f>'Forecast Estimates'!S17</f>
        <v>76574</v>
      </c>
      <c r="T57" s="31">
        <f>'Forecast Estimates'!T17</f>
        <v>82337</v>
      </c>
      <c r="U57" s="31">
        <f>'Forecast Estimates'!U17</f>
        <v>86365</v>
      </c>
      <c r="V57" s="31">
        <f>'Forecast Estimates'!V17</f>
        <v>88670</v>
      </c>
      <c r="W57" s="31">
        <f>'Forecast Estimates'!W17</f>
        <v>92065</v>
      </c>
      <c r="X57" s="31">
        <f>'Forecast Estimates'!X17</f>
        <v>95930</v>
      </c>
      <c r="Y57" s="31">
        <f>'Forecast Estimates'!Y17</f>
        <v>100275</v>
      </c>
      <c r="Z57" s="31">
        <f>'Forecast Estimates'!Z17</f>
        <v>104965</v>
      </c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65"/>
      <c r="BR57" s="65"/>
      <c r="BS57" s="65"/>
      <c r="BT57" s="65"/>
      <c r="BU57" s="65"/>
      <c r="BV57" s="65"/>
    </row>
    <row r="58" spans="1:74" s="26" customFormat="1" ht="13.5" x14ac:dyDescent="0.25">
      <c r="A58" s="26" t="s">
        <v>78</v>
      </c>
      <c r="B58" s="31">
        <f>'Forecast Estimates'!B16</f>
        <v>33486</v>
      </c>
      <c r="C58" s="31">
        <f>'Forecast Estimates'!C16</f>
        <v>39652</v>
      </c>
      <c r="D58" s="31">
        <f>'Forecast Estimates'!D16</f>
        <v>45163</v>
      </c>
      <c r="E58" s="31">
        <f>'Forecast Estimates'!E16</f>
        <v>48056</v>
      </c>
      <c r="F58" s="31">
        <f>'Forecast Estimates'!F16</f>
        <v>51818</v>
      </c>
      <c r="G58" s="31">
        <f>'Forecast Estimates'!G16</f>
        <v>56795</v>
      </c>
      <c r="H58" s="31">
        <f>'Forecast Estimates'!H16</f>
        <v>62668</v>
      </c>
      <c r="I58" s="31">
        <f>'Forecast Estimates'!I16</f>
        <v>70875</v>
      </c>
      <c r="J58" s="31">
        <f>'Forecast Estimates'!J16</f>
        <v>78569</v>
      </c>
      <c r="K58" s="31">
        <f>'Forecast Estimates'!K16</f>
        <v>80027</v>
      </c>
      <c r="L58" s="31">
        <f>'Forecast Estimates'!L16</f>
        <v>109160</v>
      </c>
      <c r="M58" s="31">
        <f>'Forecast Estimates'!M16</f>
        <v>79696</v>
      </c>
      <c r="N58" s="31">
        <f>'Forecast Estimates'!N16</f>
        <v>73686</v>
      </c>
      <c r="O58" s="31">
        <f>'Forecast Estimates'!O16</f>
        <v>72607</v>
      </c>
      <c r="P58" s="31">
        <f>'Forecast Estimates'!P16</f>
        <v>73145</v>
      </c>
      <c r="Q58" s="31">
        <f>'Forecast Estimates'!Q16</f>
        <v>76007</v>
      </c>
      <c r="R58" s="31">
        <f>'Forecast Estimates'!R16</f>
        <v>75361</v>
      </c>
      <c r="S58" s="31">
        <f>'Forecast Estimates'!S16</f>
        <v>77481</v>
      </c>
      <c r="T58" s="31">
        <f>'Forecast Estimates'!T16</f>
        <v>82168</v>
      </c>
      <c r="U58" s="31">
        <f>'Forecast Estimates'!U16</f>
        <v>85695</v>
      </c>
      <c r="V58" s="31">
        <f>'Forecast Estimates'!V16</f>
        <v>90685</v>
      </c>
      <c r="W58" s="31">
        <f>'Forecast Estimates'!W16</f>
        <v>92795</v>
      </c>
      <c r="X58" s="31">
        <f>'Forecast Estimates'!X16</f>
        <v>95735</v>
      </c>
      <c r="Y58" s="31">
        <f>'Forecast Estimates'!Y16</f>
        <v>98785</v>
      </c>
      <c r="Z58" s="31">
        <f>'Forecast Estimates'!Z16</f>
        <v>101890</v>
      </c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  <c r="BE58" s="65"/>
      <c r="BF58" s="65"/>
      <c r="BG58" s="65"/>
      <c r="BH58" s="65"/>
      <c r="BI58" s="65"/>
      <c r="BJ58" s="65"/>
      <c r="BK58" s="65"/>
      <c r="BL58" s="65"/>
      <c r="BM58" s="65"/>
      <c r="BN58" s="65"/>
      <c r="BO58" s="65"/>
      <c r="BP58" s="65"/>
      <c r="BQ58" s="65"/>
      <c r="BR58" s="65"/>
      <c r="BS58" s="65"/>
      <c r="BT58" s="65"/>
      <c r="BU58" s="65"/>
      <c r="BV58" s="65"/>
    </row>
    <row r="59" spans="1:74" s="26" customFormat="1" ht="13.5" x14ac:dyDescent="0.25">
      <c r="A59" s="26" t="s">
        <v>21</v>
      </c>
      <c r="B59" s="31">
        <f t="shared" ref="B59:Y59" si="51">B57-B58</f>
        <v>5259</v>
      </c>
      <c r="C59" s="31">
        <f t="shared" si="51"/>
        <v>1163</v>
      </c>
      <c r="D59" s="31">
        <f t="shared" si="51"/>
        <v>-715</v>
      </c>
      <c r="E59" s="31">
        <f t="shared" si="51"/>
        <v>495</v>
      </c>
      <c r="F59" s="31">
        <f t="shared" si="51"/>
        <v>2020</v>
      </c>
      <c r="G59" s="31">
        <f t="shared" si="51"/>
        <v>2664</v>
      </c>
      <c r="H59" s="31">
        <f t="shared" si="51"/>
        <v>5123</v>
      </c>
      <c r="I59" s="31">
        <f t="shared" si="51"/>
        <v>519</v>
      </c>
      <c r="J59" s="31">
        <f t="shared" si="51"/>
        <v>-13177</v>
      </c>
      <c r="K59" s="31">
        <f t="shared" si="51"/>
        <v>-23516</v>
      </c>
      <c r="L59" s="31">
        <f t="shared" si="51"/>
        <v>-53774</v>
      </c>
      <c r="M59" s="31">
        <f t="shared" si="51"/>
        <v>-21937</v>
      </c>
      <c r="N59" s="31">
        <f t="shared" si="51"/>
        <v>-14170</v>
      </c>
      <c r="O59" s="31">
        <f t="shared" si="51"/>
        <v>-11090</v>
      </c>
      <c r="P59" s="31">
        <f t="shared" si="51"/>
        <v>-7107</v>
      </c>
      <c r="Q59" s="31">
        <f t="shared" si="51"/>
        <v>-5123</v>
      </c>
      <c r="R59" s="31">
        <f t="shared" si="51"/>
        <v>-1880</v>
      </c>
      <c r="S59" s="31">
        <f t="shared" si="51"/>
        <v>-907</v>
      </c>
      <c r="T59" s="31">
        <f t="shared" si="51"/>
        <v>169</v>
      </c>
      <c r="U59" s="31">
        <f t="shared" si="51"/>
        <v>670</v>
      </c>
      <c r="V59" s="31">
        <f t="shared" si="51"/>
        <v>-2015</v>
      </c>
      <c r="W59" s="31">
        <f t="shared" si="51"/>
        <v>-730</v>
      </c>
      <c r="X59" s="31">
        <f t="shared" si="51"/>
        <v>195</v>
      </c>
      <c r="Y59" s="31">
        <f t="shared" si="51"/>
        <v>1490</v>
      </c>
      <c r="Z59" s="31">
        <f t="shared" ref="Z59" si="52">Z57-Z58</f>
        <v>3075</v>
      </c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</row>
    <row r="60" spans="1:74" s="26" customFormat="1" ht="13.5" x14ac:dyDescent="0.25">
      <c r="A60" s="26" t="s">
        <v>27</v>
      </c>
      <c r="B60" s="31">
        <f>'Forecast Estimates'!B20</f>
        <v>2107</v>
      </c>
      <c r="C60" s="31">
        <f>'Forecast Estimates'!C20</f>
        <v>1757</v>
      </c>
      <c r="D60" s="31">
        <f>'Forecast Estimates'!D20</f>
        <v>1793</v>
      </c>
      <c r="E60" s="31">
        <f>'Forecast Estimates'!E20</f>
        <v>1775</v>
      </c>
      <c r="F60" s="31">
        <f>'Forecast Estimates'!F20</f>
        <v>1714</v>
      </c>
      <c r="G60" s="31">
        <f>'Forecast Estimates'!G20</f>
        <v>1742</v>
      </c>
      <c r="H60" s="31">
        <f>'Forecast Estimates'!H20</f>
        <v>1850</v>
      </c>
      <c r="I60" s="31">
        <f>'Forecast Estimates'!I20</f>
        <v>1985</v>
      </c>
      <c r="J60" s="31">
        <f>'Forecast Estimates'!J20</f>
        <v>2403</v>
      </c>
      <c r="K60" s="31">
        <f>'Forecast Estimates'!K20</f>
        <v>3416</v>
      </c>
      <c r="L60" s="31">
        <f>'Forecast Estimates'!L20</f>
        <v>4748</v>
      </c>
      <c r="M60" s="31">
        <f>'Forecast Estimates'!M20</f>
        <v>5768</v>
      </c>
      <c r="N60" s="31">
        <f>'Forecast Estimates'!N20</f>
        <v>7298</v>
      </c>
      <c r="O60" s="31">
        <f>'Forecast Estimates'!O20</f>
        <v>7760</v>
      </c>
      <c r="P60" s="31">
        <f>'Forecast Estimates'!P20</f>
        <v>7589</v>
      </c>
      <c r="Q60" s="31">
        <f>'Forecast Estimates'!Q20</f>
        <v>6850</v>
      </c>
      <c r="R60" s="31">
        <f>'Forecast Estimates'!R20</f>
        <v>6167</v>
      </c>
      <c r="S60" s="31">
        <f>'Forecast Estimates'!S20</f>
        <v>5838</v>
      </c>
      <c r="T60" s="31">
        <f>'Forecast Estimates'!T20</f>
        <v>5235</v>
      </c>
      <c r="U60" s="31">
        <f>'Forecast Estimates'!U20</f>
        <v>4680</v>
      </c>
      <c r="V60" s="31">
        <f>'Forecast Estimates'!V20</f>
        <v>4015</v>
      </c>
      <c r="W60" s="31">
        <f>'Forecast Estimates'!W20</f>
        <v>3700</v>
      </c>
      <c r="X60" s="31">
        <f>'Forecast Estimates'!X20</f>
        <v>3870</v>
      </c>
      <c r="Y60" s="31">
        <f>'Forecast Estimates'!Y20</f>
        <v>4045</v>
      </c>
      <c r="Z60" s="31">
        <f>'Forecast Estimates'!Z20</f>
        <v>3935</v>
      </c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  <c r="BM60" s="65"/>
      <c r="BN60" s="65"/>
      <c r="BO60" s="65"/>
      <c r="BP60" s="65"/>
      <c r="BQ60" s="65"/>
      <c r="BR60" s="65"/>
      <c r="BS60" s="65"/>
      <c r="BT60" s="65"/>
      <c r="BU60" s="65"/>
      <c r="BV60" s="65"/>
    </row>
    <row r="61" spans="1:74" s="26" customFormat="1" ht="13.5" x14ac:dyDescent="0.25">
      <c r="A61" s="26" t="s">
        <v>26</v>
      </c>
      <c r="B61" s="31">
        <f>'Forecast Estimates'!B19</f>
        <v>3800</v>
      </c>
      <c r="C61" s="31">
        <f>'Forecast Estimates'!C19</f>
        <v>5152</v>
      </c>
      <c r="D61" s="31">
        <f>'Forecast Estimates'!D19</f>
        <v>5741</v>
      </c>
      <c r="E61" s="31">
        <f>'Forecast Estimates'!E19</f>
        <v>5352</v>
      </c>
      <c r="F61" s="31">
        <f>'Forecast Estimates'!F19</f>
        <v>5506</v>
      </c>
      <c r="G61" s="31">
        <f>'Forecast Estimates'!G19</f>
        <v>6024</v>
      </c>
      <c r="H61" s="31">
        <f>'Forecast Estimates'!H19</f>
        <v>7028</v>
      </c>
      <c r="I61" s="31">
        <f>'Forecast Estimates'!I19</f>
        <v>9206</v>
      </c>
      <c r="J61" s="31">
        <f>'Forecast Estimates'!J19</f>
        <v>9877</v>
      </c>
      <c r="K61" s="31">
        <f>'Forecast Estimates'!K19</f>
        <v>6408</v>
      </c>
      <c r="L61" s="31">
        <f>'Forecast Estimates'!L19</f>
        <v>5692</v>
      </c>
      <c r="M61" s="31">
        <f>'Forecast Estimates'!M19</f>
        <v>4239</v>
      </c>
      <c r="N61" s="31">
        <f>'Forecast Estimates'!N19</f>
        <v>3568</v>
      </c>
      <c r="O61" s="31">
        <f>'Forecast Estimates'!O19</f>
        <v>3613</v>
      </c>
      <c r="P61" s="31">
        <f>'Forecast Estimates'!P19</f>
        <v>4279</v>
      </c>
      <c r="Q61" s="31">
        <f>'Forecast Estimates'!Q19</f>
        <v>4680</v>
      </c>
      <c r="R61" s="31">
        <f>'Forecast Estimates'!R19</f>
        <v>5182</v>
      </c>
      <c r="S61" s="31">
        <f>'Forecast Estimates'!S19</f>
        <v>5251</v>
      </c>
      <c r="T61" s="31">
        <f>'Forecast Estimates'!T19</f>
        <v>6332</v>
      </c>
      <c r="U61" s="31">
        <f>'Forecast Estimates'!U19</f>
        <v>7935</v>
      </c>
      <c r="V61" s="31">
        <f>'Forecast Estimates'!V19</f>
        <v>8815</v>
      </c>
      <c r="W61" s="31">
        <f>'Forecast Estimates'!W19</f>
        <v>9065</v>
      </c>
      <c r="X61" s="31">
        <f>'Forecast Estimates'!X19</f>
        <v>9385</v>
      </c>
      <c r="Y61" s="31">
        <f>'Forecast Estimates'!Y19</f>
        <v>10025</v>
      </c>
      <c r="Z61" s="31">
        <f>'Forecast Estimates'!Z19</f>
        <v>10695</v>
      </c>
      <c r="AJ61" s="65"/>
      <c r="AK61" s="65"/>
      <c r="AL61" s="65"/>
      <c r="AM61" s="65"/>
      <c r="AN61" s="65"/>
      <c r="AO61" s="65"/>
      <c r="AP61" s="65"/>
      <c r="AQ61" s="65"/>
      <c r="AR61" s="65"/>
      <c r="AS61" s="65"/>
      <c r="AT61" s="65"/>
      <c r="AU61" s="65"/>
      <c r="AV61" s="65"/>
      <c r="AW61" s="65"/>
      <c r="AX61" s="65"/>
      <c r="AY61" s="65"/>
      <c r="AZ61" s="65"/>
      <c r="BA61" s="65"/>
      <c r="BB61" s="65"/>
      <c r="BC61" s="65"/>
      <c r="BD61" s="65"/>
      <c r="BE61" s="65"/>
      <c r="BF61" s="65"/>
      <c r="BG61" s="65"/>
      <c r="BH61" s="65"/>
      <c r="BI61" s="65"/>
      <c r="BJ61" s="65"/>
      <c r="BK61" s="65"/>
      <c r="BL61" s="65"/>
      <c r="BM61" s="65"/>
      <c r="BN61" s="65"/>
      <c r="BO61" s="65"/>
      <c r="BP61" s="65"/>
      <c r="BQ61" s="65"/>
      <c r="BR61" s="65"/>
      <c r="BS61" s="65"/>
      <c r="BT61" s="65"/>
      <c r="BU61" s="65"/>
      <c r="BV61" s="65"/>
    </row>
    <row r="62" spans="1:74" s="26" customFormat="1" ht="13.5" x14ac:dyDescent="0.25">
      <c r="A62" s="26" t="s">
        <v>28</v>
      </c>
      <c r="B62" s="31">
        <f>'Forecast Estimates'!B21</f>
        <v>0</v>
      </c>
      <c r="C62" s="31">
        <f>'Forecast Estimates'!C21</f>
        <v>0</v>
      </c>
      <c r="D62" s="31">
        <f>'Forecast Estimates'!D21</f>
        <v>0</v>
      </c>
      <c r="E62" s="31">
        <f>'Forecast Estimates'!E21</f>
        <v>0</v>
      </c>
      <c r="F62" s="31">
        <f>'Forecast Estimates'!F21</f>
        <v>0</v>
      </c>
      <c r="G62" s="31">
        <f>'Forecast Estimates'!G21</f>
        <v>0</v>
      </c>
      <c r="H62" s="31">
        <f>'Forecast Estimates'!H21</f>
        <v>0</v>
      </c>
      <c r="I62" s="31">
        <f>'Forecast Estimates'!I21</f>
        <v>0</v>
      </c>
      <c r="J62" s="31">
        <f>'Forecast Estimates'!J21</f>
        <v>0</v>
      </c>
      <c r="K62" s="31">
        <f>'Forecast Estimates'!K21</f>
        <v>0</v>
      </c>
      <c r="L62" s="31">
        <f>'Forecast Estimates'!L21</f>
        <v>0</v>
      </c>
      <c r="M62" s="31">
        <f>'Forecast Estimates'!M21</f>
        <v>250</v>
      </c>
      <c r="N62" s="31">
        <f>'Forecast Estimates'!N21</f>
        <v>185.84022816999942</v>
      </c>
      <c r="O62" s="31">
        <f>'Forecast Estimates'!O21</f>
        <v>142.03942925000024</v>
      </c>
      <c r="P62" s="31">
        <f>'Forecast Estimates'!P21</f>
        <v>378.09179999999998</v>
      </c>
      <c r="Q62" s="31">
        <f>'Forecast Estimates'!Q21</f>
        <v>380</v>
      </c>
      <c r="R62" s="31">
        <f>'Forecast Estimates'!R21</f>
        <v>400</v>
      </c>
      <c r="S62" s="31">
        <f>'Forecast Estimates'!S21</f>
        <v>500</v>
      </c>
      <c r="T62" s="31">
        <f>'Forecast Estimates'!T21</f>
        <v>600</v>
      </c>
      <c r="U62" s="31">
        <f>'Forecast Estimates'!U21</f>
        <v>690</v>
      </c>
      <c r="V62" s="31">
        <f>'Forecast Estimates'!V21</f>
        <v>700</v>
      </c>
      <c r="W62" s="31">
        <f>'Forecast Estimates'!W21</f>
        <v>730</v>
      </c>
      <c r="X62" s="31">
        <f>'Forecast Estimates'!X21</f>
        <v>760</v>
      </c>
      <c r="Y62" s="31">
        <f>'Forecast Estimates'!Y21</f>
        <v>795</v>
      </c>
      <c r="Z62" s="31">
        <f>'Forecast Estimates'!Z21</f>
        <v>825</v>
      </c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65"/>
      <c r="BJ62" s="65"/>
      <c r="BK62" s="65"/>
      <c r="BL62" s="65"/>
      <c r="BM62" s="65"/>
      <c r="BN62" s="65"/>
      <c r="BO62" s="65"/>
      <c r="BP62" s="65"/>
      <c r="BQ62" s="65"/>
      <c r="BR62" s="65"/>
      <c r="BS62" s="65"/>
      <c r="BT62" s="65"/>
      <c r="BU62" s="65"/>
      <c r="BV62" s="65"/>
    </row>
    <row r="63" spans="1:74" s="26" customFormat="1" ht="13.5" x14ac:dyDescent="0.25">
      <c r="A63" s="26" t="s">
        <v>29</v>
      </c>
      <c r="B63" s="31">
        <f>'Forecast Estimates'!B22</f>
        <v>39096</v>
      </c>
      <c r="C63" s="31">
        <f>'Forecast Estimates'!C22</f>
        <v>40538</v>
      </c>
      <c r="D63" s="31">
        <f>'Forecast Estimates'!D22</f>
        <v>41538</v>
      </c>
      <c r="E63" s="31">
        <f>'Forecast Estimates'!E22</f>
        <v>43560</v>
      </c>
      <c r="F63" s="31">
        <f>'Forecast Estimates'!F22</f>
        <v>44056</v>
      </c>
      <c r="G63" s="31">
        <f>'Forecast Estimates'!G22</f>
        <v>44379</v>
      </c>
      <c r="H63" s="31">
        <f>'Forecast Estimates'!H22</f>
        <v>43692</v>
      </c>
      <c r="I63" s="31">
        <f>'Forecast Estimates'!I22</f>
        <v>47148</v>
      </c>
      <c r="J63" s="31">
        <f>'Forecast Estimates'!J22</f>
        <v>79621</v>
      </c>
      <c r="K63" s="31">
        <f>'Forecast Estimates'!K22</f>
        <v>104686</v>
      </c>
      <c r="L63" s="31">
        <f>'Forecast Estimates'!L22</f>
        <v>144230</v>
      </c>
      <c r="M63" s="31">
        <f>'Forecast Estimates'!M22</f>
        <v>189727</v>
      </c>
      <c r="N63" s="31">
        <f>'Forecast Estimates'!N22</f>
        <v>210036</v>
      </c>
      <c r="O63" s="31">
        <f>'Forecast Estimates'!O22</f>
        <v>215352</v>
      </c>
      <c r="P63" s="31">
        <f>'Forecast Estimates'!P22</f>
        <v>203378</v>
      </c>
      <c r="Q63" s="31">
        <f>'Forecast Estimates'!Q22</f>
        <v>201654</v>
      </c>
      <c r="R63" s="31">
        <f>'Forecast Estimates'!R22</f>
        <v>200709</v>
      </c>
      <c r="S63" s="31">
        <f>'Forecast Estimates'!S22</f>
        <v>201363</v>
      </c>
      <c r="T63" s="31">
        <f>'Forecast Estimates'!T22</f>
        <v>205978</v>
      </c>
      <c r="U63" s="31">
        <f>'Forecast Estimates'!U22</f>
        <v>203600</v>
      </c>
      <c r="V63" s="31">
        <f>'Forecast Estimates'!V22</f>
        <v>198500</v>
      </c>
      <c r="W63" s="31">
        <f>'Forecast Estimates'!W22</f>
        <v>205800</v>
      </c>
      <c r="X63" s="31">
        <f>'Forecast Estimates'!X22</f>
        <v>207100</v>
      </c>
      <c r="Y63" s="31">
        <f>'Forecast Estimates'!Y22</f>
        <v>213200</v>
      </c>
      <c r="Z63" s="31">
        <f>'Forecast Estimates'!Z22</f>
        <v>218500</v>
      </c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  <c r="BM63" s="65"/>
      <c r="BN63" s="65"/>
      <c r="BO63" s="65"/>
      <c r="BP63" s="65"/>
      <c r="BQ63" s="65"/>
      <c r="BR63" s="65"/>
      <c r="BS63" s="65"/>
      <c r="BT63" s="65"/>
      <c r="BU63" s="65"/>
      <c r="BV63" s="65"/>
    </row>
    <row r="64" spans="1:74" s="26" customFormat="1" ht="13.5" x14ac:dyDescent="0.25">
      <c r="A64" s="26" t="s">
        <v>9</v>
      </c>
      <c r="B64" s="31">
        <f>'Forecast Estimates'!B23</f>
        <v>94108</v>
      </c>
      <c r="C64" s="31">
        <f>'Forecast Estimates'!C23</f>
        <v>103496</v>
      </c>
      <c r="D64" s="31">
        <f>'Forecast Estimates'!D23</f>
        <v>112787</v>
      </c>
      <c r="E64" s="31">
        <f>'Forecast Estimates'!E23</f>
        <v>123714</v>
      </c>
      <c r="F64" s="31">
        <f>'Forecast Estimates'!F23</f>
        <v>132446</v>
      </c>
      <c r="G64" s="31">
        <f>'Forecast Estimates'!G23</f>
        <v>144016</v>
      </c>
      <c r="H64" s="31">
        <f>'Forecast Estimates'!H23</f>
        <v>157896</v>
      </c>
      <c r="I64" s="31">
        <f>'Forecast Estimates'!I23</f>
        <v>165560</v>
      </c>
      <c r="J64" s="31">
        <f>'Forecast Estimates'!J23</f>
        <v>156906</v>
      </c>
      <c r="K64" s="31">
        <f>'Forecast Estimates'!K23</f>
        <v>134841</v>
      </c>
      <c r="L64" s="31">
        <f>'Forecast Estimates'!L23</f>
        <v>128960</v>
      </c>
      <c r="M64" s="31">
        <f>'Forecast Estimates'!M23</f>
        <v>126358</v>
      </c>
      <c r="N64" s="31">
        <f>'Forecast Estimates'!N23</f>
        <v>126498</v>
      </c>
      <c r="O64" s="31">
        <f>'Forecast Estimates'!O23</f>
        <v>136959</v>
      </c>
      <c r="P64" s="31">
        <f>'Forecast Estimates'!P23</f>
        <v>148738</v>
      </c>
      <c r="Q64" s="31">
        <f>'Forecast Estimates'!Q23</f>
        <v>162656</v>
      </c>
      <c r="R64" s="31">
        <f>'Forecast Estimates'!R23</f>
        <v>175631</v>
      </c>
      <c r="S64" s="31">
        <f>'Forecast Estimates'!S23</f>
        <v>183955</v>
      </c>
      <c r="T64" s="31">
        <f>'Forecast Estimates'!T23</f>
        <v>192212</v>
      </c>
      <c r="U64" s="31">
        <f>'Forecast Estimates'!U23</f>
        <v>203275</v>
      </c>
      <c r="V64" s="31">
        <f>'Forecast Estimates'!V23</f>
        <v>203700</v>
      </c>
      <c r="W64" s="31">
        <f>'Forecast Estimates'!W23</f>
        <v>210675</v>
      </c>
      <c r="X64" s="31">
        <f>'Forecast Estimates'!X23</f>
        <v>218125</v>
      </c>
      <c r="Y64" s="31">
        <f>'Forecast Estimates'!Y23</f>
        <v>225550</v>
      </c>
      <c r="Z64" s="31">
        <f>'Forecast Estimates'!Z23</f>
        <v>232750</v>
      </c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65"/>
      <c r="BJ64" s="65"/>
      <c r="BK64" s="65"/>
      <c r="BL64" s="65"/>
      <c r="BM64" s="65"/>
      <c r="BN64" s="65"/>
      <c r="BO64" s="65"/>
      <c r="BP64" s="65"/>
      <c r="BQ64" s="65"/>
      <c r="BR64" s="65"/>
      <c r="BS64" s="65"/>
      <c r="BT64" s="65"/>
      <c r="BU64" s="65"/>
      <c r="BV64" s="65"/>
    </row>
    <row r="65" spans="1:74" s="26" customFormat="1" ht="13.5" x14ac:dyDescent="0.25">
      <c r="A65" s="26" t="s">
        <v>8</v>
      </c>
      <c r="B65" s="31">
        <f>'Forecast Estimates'!B8</f>
        <v>108380</v>
      </c>
      <c r="C65" s="31">
        <f>'Forecast Estimates'!C8</f>
        <v>121959</v>
      </c>
      <c r="D65" s="31">
        <f>'Forecast Estimates'!D8</f>
        <v>135960</v>
      </c>
      <c r="E65" s="31">
        <f>'Forecast Estimates'!E8</f>
        <v>145556</v>
      </c>
      <c r="F65" s="31">
        <f>'Forecast Estimates'!F8</f>
        <v>156143</v>
      </c>
      <c r="G65" s="31">
        <f>'Forecast Estimates'!G8</f>
        <v>170187</v>
      </c>
      <c r="H65" s="31">
        <f>'Forecast Estimates'!H8</f>
        <v>184994</v>
      </c>
      <c r="I65" s="31">
        <f>'Forecast Estimates'!I8</f>
        <v>197202</v>
      </c>
      <c r="J65" s="31">
        <f>'Forecast Estimates'!J8</f>
        <v>187769</v>
      </c>
      <c r="K65" s="31">
        <f>'Forecast Estimates'!K8</f>
        <v>170101</v>
      </c>
      <c r="L65" s="31">
        <f>'Forecast Estimates'!L8</f>
        <v>167732</v>
      </c>
      <c r="M65" s="31">
        <f>'Forecast Estimates'!M8</f>
        <v>170827</v>
      </c>
      <c r="N65" s="31">
        <f>'Forecast Estimates'!N8</f>
        <v>175116</v>
      </c>
      <c r="O65" s="31">
        <f>'Forecast Estimates'!O8</f>
        <v>179661</v>
      </c>
      <c r="P65" s="31">
        <f>'Forecast Estimates'!P8</f>
        <v>194818</v>
      </c>
      <c r="Q65" s="31">
        <f>'Forecast Estimates'!Q8</f>
        <v>262833</v>
      </c>
      <c r="R65" s="31">
        <f>'Forecast Estimates'!R8</f>
        <v>271684</v>
      </c>
      <c r="S65" s="31">
        <f>'Forecast Estimates'!S8</f>
        <v>297131</v>
      </c>
      <c r="T65" s="31">
        <f>'Forecast Estimates'!T8</f>
        <v>324038</v>
      </c>
      <c r="U65" s="31">
        <f>'Forecast Estimates'!U8</f>
        <v>343200.07888284227</v>
      </c>
      <c r="V65" s="31">
        <f>'Forecast Estimates'!V8</f>
        <v>351359.37061311456</v>
      </c>
      <c r="W65" s="31">
        <f>'Forecast Estimates'!W8</f>
        <v>365215.22191567003</v>
      </c>
      <c r="X65" s="31">
        <f>'Forecast Estimates'!X8</f>
        <v>380737.37684917293</v>
      </c>
      <c r="Y65" s="31">
        <f>'Forecast Estimates'!Y8</f>
        <v>396463.81927564717</v>
      </c>
      <c r="Z65" s="31">
        <f>'Forecast Estimates'!Z8</f>
        <v>412548.75918767881</v>
      </c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5"/>
      <c r="BF65" s="65"/>
      <c r="BG65" s="65"/>
      <c r="BH65" s="65"/>
      <c r="BI65" s="65"/>
      <c r="BJ65" s="65"/>
      <c r="BK65" s="65"/>
      <c r="BL65" s="65"/>
      <c r="BM65" s="65"/>
      <c r="BN65" s="65"/>
      <c r="BO65" s="65"/>
      <c r="BP65" s="65"/>
      <c r="BQ65" s="65"/>
      <c r="BR65" s="65"/>
      <c r="BS65" s="65"/>
      <c r="BT65" s="65"/>
      <c r="BU65" s="65"/>
      <c r="BV65" s="65"/>
    </row>
    <row r="66" spans="1:74" s="26" customFormat="1" ht="13.5" x14ac:dyDescent="0.25">
      <c r="A66" s="26" t="s">
        <v>10</v>
      </c>
      <c r="B66" s="31">
        <f>'Forecast Estimates'!B7</f>
        <v>144545</v>
      </c>
      <c r="C66" s="31">
        <f>'Forecast Estimates'!C7</f>
        <v>152175</v>
      </c>
      <c r="D66" s="31">
        <f>'Forecast Estimates'!D7</f>
        <v>161184</v>
      </c>
      <c r="E66" s="31">
        <f>'Forecast Estimates'!E7</f>
        <v>166051</v>
      </c>
      <c r="F66" s="31">
        <f>'Forecast Estimates'!F7</f>
        <v>177212</v>
      </c>
      <c r="G66" s="31">
        <f>'Forecast Estimates'!G7</f>
        <v>187314</v>
      </c>
      <c r="H66" s="31">
        <f>'Forecast Estimates'!H7</f>
        <v>196812</v>
      </c>
      <c r="I66" s="31">
        <f>'Forecast Estimates'!I7</f>
        <v>207291</v>
      </c>
      <c r="J66" s="31">
        <f>'Forecast Estimates'!J7</f>
        <v>198003</v>
      </c>
      <c r="K66" s="31">
        <f>'Forecast Estimates'!K7</f>
        <v>187946</v>
      </c>
      <c r="L66" s="31">
        <f>'Forecast Estimates'!L7</f>
        <v>191348</v>
      </c>
      <c r="M66" s="31">
        <f>'Forecast Estimates'!M7</f>
        <v>192005</v>
      </c>
      <c r="N66" s="31">
        <f>'Forecast Estimates'!N7</f>
        <v>192439</v>
      </c>
      <c r="O66" s="31">
        <f>'Forecast Estimates'!O7</f>
        <v>195040</v>
      </c>
      <c r="P66" s="31">
        <f>'Forecast Estimates'!P7</f>
        <v>211729</v>
      </c>
      <c r="Q66" s="31">
        <f>'Forecast Estimates'!Q7</f>
        <v>265005</v>
      </c>
      <c r="R66" s="31">
        <f>'Forecast Estimates'!R7</f>
        <v>274752</v>
      </c>
      <c r="S66" s="31">
        <f>'Forecast Estimates'!S7</f>
        <v>297131</v>
      </c>
      <c r="T66" s="31">
        <f>'Forecast Estimates'!T7</f>
        <v>321406</v>
      </c>
      <c r="U66" s="31">
        <f>'Forecast Estimates'!U7</f>
        <v>338951.94314463058</v>
      </c>
      <c r="V66" s="31">
        <f>'Forecast Estimates'!V7</f>
        <v>341391.10891869757</v>
      </c>
      <c r="W66" s="31">
        <f>'Forecast Estimates'!W7</f>
        <v>349825.50814128207</v>
      </c>
      <c r="X66" s="31">
        <f>'Forecast Estimates'!X7</f>
        <v>359729.60855930619</v>
      </c>
      <c r="Y66" s="31">
        <f>'Forecast Estimates'!Y7</f>
        <v>369462.37174304697</v>
      </c>
      <c r="Z66" s="31">
        <f>'Forecast Estimates'!Z7</f>
        <v>379244.78135134972</v>
      </c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</row>
    <row r="67" spans="1:74" s="26" customFormat="1" ht="13.5" x14ac:dyDescent="0.25">
      <c r="A67" s="26" t="s">
        <v>79</v>
      </c>
      <c r="B67" s="31">
        <f>'Forecast Estimates'!B12*1000</f>
        <v>138615.65000000002</v>
      </c>
      <c r="C67" s="31">
        <f>'Forecast Estimates'!C12*1000</f>
        <v>146530.70000000001</v>
      </c>
      <c r="D67" s="31">
        <f>'Forecast Estimates'!D12*1000</f>
        <v>154124.29999999999</v>
      </c>
      <c r="E67" s="31">
        <f>'Forecast Estimates'!E12*1000</f>
        <v>162138.54999999999</v>
      </c>
      <c r="F67" s="31">
        <f>'Forecast Estimates'!F12*1000</f>
        <v>170525.25</v>
      </c>
      <c r="G67" s="31">
        <f>'Forecast Estimates'!G12*1000</f>
        <v>178049.55</v>
      </c>
      <c r="H67" s="31">
        <f>'Forecast Estimates'!H12*1000</f>
        <v>184545.15000000002</v>
      </c>
      <c r="I67" s="31">
        <f>'Forecast Estimates'!I12*1000</f>
        <v>189212.5</v>
      </c>
      <c r="J67" s="31">
        <f>'Forecast Estimates'!J12*1000</f>
        <v>192280.8</v>
      </c>
      <c r="K67" s="31">
        <f>'Forecast Estimates'!K12*1000</f>
        <v>197168.95</v>
      </c>
      <c r="L67" s="31">
        <f>'Forecast Estimates'!L12*1000</f>
        <v>203505.50000000003</v>
      </c>
      <c r="M67" s="31">
        <f>'Forecast Estimates'!M12*1000</f>
        <v>207516.7</v>
      </c>
      <c r="N67" s="31">
        <f>'Forecast Estimates'!N12*1000</f>
        <v>209513.10000000003</v>
      </c>
      <c r="O67" s="31">
        <f>'Forecast Estimates'!O12*1000</f>
        <v>213424.40000000002</v>
      </c>
      <c r="P67" s="31">
        <f>'Forecast Estimates'!P12*1000</f>
        <v>221977.95</v>
      </c>
      <c r="Q67" s="31">
        <f>'Forecast Estimates'!Q12*1000</f>
        <v>273962.2</v>
      </c>
      <c r="R67" s="31">
        <f>'Forecast Estimates'!R12*1000</f>
        <v>281654.30000000005</v>
      </c>
      <c r="S67" s="31">
        <f>'Forecast Estimates'!S12*1000</f>
        <v>305074.39999999997</v>
      </c>
      <c r="T67" s="31">
        <f>'Forecast Estimates'!T12*1000</f>
        <v>322193.19999999995</v>
      </c>
      <c r="U67" s="31">
        <f>'Forecast Estimates'!U12*1000</f>
        <v>335659.25</v>
      </c>
      <c r="V67" s="31">
        <f>'Forecast Estimates'!V12*1000</f>
        <v>342548.5</v>
      </c>
      <c r="W67" s="31">
        <f>'Forecast Estimates'!W12*1000</f>
        <v>348008.29999999993</v>
      </c>
      <c r="X67" s="31">
        <f>'Forecast Estimates'!X12*1000</f>
        <v>355286.29999999993</v>
      </c>
      <c r="Y67" s="31">
        <f>'Forecast Estimates'!Y12*1000</f>
        <v>362630.70000000007</v>
      </c>
      <c r="Z67" s="31">
        <f>'Forecast Estimates'!Z12*1000</f>
        <v>371373.20000000007</v>
      </c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</row>
    <row r="68" spans="1:74" s="26" customFormat="1" ht="13.5" x14ac:dyDescent="0.25">
      <c r="A68" s="26" t="s">
        <v>80</v>
      </c>
      <c r="B68" s="31">
        <f t="shared" ref="B68:Y68" si="53">B65/(1+B69/100)</f>
        <v>103934.13575479221</v>
      </c>
      <c r="C68" s="31">
        <f t="shared" si="53"/>
        <v>117434.90993255445</v>
      </c>
      <c r="D68" s="31">
        <f t="shared" si="53"/>
        <v>130003.48784364837</v>
      </c>
      <c r="E68" s="31">
        <f t="shared" si="53"/>
        <v>142124.31531528587</v>
      </c>
      <c r="F68" s="31">
        <f t="shared" si="53"/>
        <v>150250.96909844689</v>
      </c>
      <c r="G68" s="31">
        <f t="shared" si="53"/>
        <v>161769.40734686828</v>
      </c>
      <c r="H68" s="31">
        <f t="shared" si="53"/>
        <v>173462.76112876125</v>
      </c>
      <c r="I68" s="31">
        <f t="shared" si="53"/>
        <v>180003.2600158373</v>
      </c>
      <c r="J68" s="31">
        <f t="shared" si="53"/>
        <v>182335.70327797631</v>
      </c>
      <c r="K68" s="31">
        <f t="shared" si="53"/>
        <v>178409.16981661622</v>
      </c>
      <c r="L68" s="31">
        <f t="shared" si="53"/>
        <v>178297.99916005455</v>
      </c>
      <c r="M68" s="31">
        <f t="shared" si="53"/>
        <v>184531.57910570665</v>
      </c>
      <c r="N68" s="31">
        <f t="shared" si="53"/>
        <v>190604.6636242549</v>
      </c>
      <c r="O68" s="31">
        <f t="shared" si="53"/>
        <v>196579.90293409792</v>
      </c>
      <c r="P68" s="31">
        <f t="shared" si="53"/>
        <v>204244.23392935496</v>
      </c>
      <c r="Q68" s="31">
        <f t="shared" si="53"/>
        <v>271697.7827267152</v>
      </c>
      <c r="R68" s="31">
        <f t="shared" si="53"/>
        <v>278377.28820689576</v>
      </c>
      <c r="S68" s="31">
        <f t="shared" si="53"/>
        <v>304859.20367766917</v>
      </c>
      <c r="T68" s="31">
        <f t="shared" si="53"/>
        <v>324610.54971063236</v>
      </c>
      <c r="U68" s="31">
        <f t="shared" si="53"/>
        <v>339682.10847568698</v>
      </c>
      <c r="V68" s="31">
        <f t="shared" si="53"/>
        <v>352399.8717604726</v>
      </c>
      <c r="W68" s="31">
        <f t="shared" si="53"/>
        <v>363228.11892616365</v>
      </c>
      <c r="X68" s="31">
        <f t="shared" si="53"/>
        <v>375979.36735478236</v>
      </c>
      <c r="Y68" s="31">
        <f t="shared" si="53"/>
        <v>389110.11667591584</v>
      </c>
      <c r="Z68" s="31">
        <f>Z65/(1+Z69/100)</f>
        <v>403997.31766486773</v>
      </c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</row>
    <row r="69" spans="1:74" s="26" customFormat="1" ht="13.5" x14ac:dyDescent="0.25">
      <c r="A69" s="26" t="s">
        <v>72</v>
      </c>
      <c r="B69" s="40">
        <f>'Forecast Estimates'!B14</f>
        <v>4.2775785000000006</v>
      </c>
      <c r="C69" s="40">
        <f>'Forecast Estimates'!C14</f>
        <v>3.8524235</v>
      </c>
      <c r="D69" s="40">
        <f>'Forecast Estimates'!D14</f>
        <v>4.5818095000000003</v>
      </c>
      <c r="E69" s="40">
        <f>'Forecast Estimates'!E14</f>
        <v>2.4145655000000001</v>
      </c>
      <c r="F69" s="40">
        <f>'Forecast Estimates'!F14</f>
        <v>3.9214595000000001</v>
      </c>
      <c r="G69" s="40">
        <f>'Forecast Estimates'!G14</f>
        <v>5.2034514999999999</v>
      </c>
      <c r="H69" s="40">
        <f>'Forecast Estimates'!H14</f>
        <v>6.6476740000000003</v>
      </c>
      <c r="I69" s="40">
        <f>'Forecast Estimates'!I14</f>
        <v>9.5546825000000002</v>
      </c>
      <c r="J69" s="40">
        <f>'Forecast Estimates'!J14</f>
        <v>2.9798315</v>
      </c>
      <c r="K69" s="40">
        <f>'Forecast Estimates'!K14</f>
        <v>-4.6568065000000001</v>
      </c>
      <c r="L69" s="40">
        <f>'Forecast Estimates'!L14</f>
        <v>-5.9260335000000008</v>
      </c>
      <c r="M69" s="40">
        <f>'Forecast Estimates'!M14</f>
        <v>-7.4266850000000009</v>
      </c>
      <c r="N69" s="40">
        <f>'Forecast Estimates'!N14</f>
        <v>-8.1260674999999996</v>
      </c>
      <c r="O69" s="40">
        <f>'Forecast Estimates'!O14</f>
        <v>-8.6066289999999999</v>
      </c>
      <c r="P69" s="40">
        <f>'Forecast Estimates'!P14</f>
        <v>-4.6151774999999997</v>
      </c>
      <c r="Q69" s="40">
        <f>'Forecast Estimates'!Q14</f>
        <v>-3.2627364999999999</v>
      </c>
      <c r="R69" s="40">
        <f>'Forecast Estimates'!R14</f>
        <v>-2.4043945</v>
      </c>
      <c r="S69" s="40">
        <f>'Forecast Estimates'!S14</f>
        <v>-2.5350075000000003</v>
      </c>
      <c r="T69" s="40">
        <f>'Forecast Estimates'!T14</f>
        <v>-0.17638050000000005</v>
      </c>
      <c r="U69" s="40">
        <f>'Forecast Estimates'!U14</f>
        <v>1.0356654999999999</v>
      </c>
      <c r="V69" s="40">
        <f>'Forecast Estimates'!V14</f>
        <v>-0.29526149999999995</v>
      </c>
      <c r="W69" s="40">
        <f>'Forecast Estimates'!W14</f>
        <v>0.54706750000000004</v>
      </c>
      <c r="X69" s="40">
        <f>'Forecast Estimates'!X14</f>
        <v>1.2654974999999999</v>
      </c>
      <c r="Y69" s="40">
        <f>'Forecast Estimates'!Y14</f>
        <v>1.889877</v>
      </c>
      <c r="Z69" s="40">
        <f>'Forecast Estimates'!Z14</f>
        <v>2.1167075</v>
      </c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  <c r="BE69" s="65"/>
      <c r="BF69" s="65"/>
      <c r="BG69" s="65"/>
      <c r="BH69" s="65"/>
      <c r="BI69" s="65"/>
      <c r="BJ69" s="65"/>
      <c r="BK69" s="65"/>
      <c r="BL69" s="65"/>
      <c r="BM69" s="65"/>
      <c r="BN69" s="65"/>
      <c r="BO69" s="65"/>
      <c r="BP69" s="65"/>
      <c r="BQ69" s="65"/>
      <c r="BR69" s="65"/>
      <c r="BS69" s="65"/>
      <c r="BT69" s="65"/>
      <c r="BU69" s="65"/>
      <c r="BV69" s="65"/>
    </row>
    <row r="70" spans="1:74" s="26" customFormat="1" ht="13.5" x14ac:dyDescent="0.25">
      <c r="A70" s="26" t="s">
        <v>22</v>
      </c>
      <c r="B70" s="26">
        <f>'Forecast Estimates'!B27</f>
        <v>0</v>
      </c>
      <c r="C70" s="26">
        <f>'Forecast Estimates'!C27</f>
        <v>0</v>
      </c>
      <c r="D70" s="26">
        <f>'Forecast Estimates'!D27</f>
        <v>0</v>
      </c>
      <c r="E70" s="26">
        <f>'Forecast Estimates'!E27</f>
        <v>0</v>
      </c>
      <c r="F70" s="26">
        <f>'Forecast Estimates'!F27</f>
        <v>0</v>
      </c>
      <c r="G70" s="26">
        <f>'Forecast Estimates'!G27</f>
        <v>0</v>
      </c>
      <c r="H70" s="26">
        <f>'Forecast Estimates'!H27</f>
        <v>0</v>
      </c>
      <c r="I70" s="26">
        <f>'Forecast Estimates'!I27</f>
        <v>0</v>
      </c>
      <c r="J70" s="26">
        <f>'Forecast Estimates'!J27</f>
        <v>0</v>
      </c>
      <c r="K70" s="26">
        <f>'Forecast Estimates'!K27</f>
        <v>0</v>
      </c>
      <c r="L70" s="26">
        <f>'Forecast Estimates'!L27</f>
        <v>0</v>
      </c>
      <c r="M70" s="26">
        <f>'Forecast Estimates'!M27</f>
        <v>77</v>
      </c>
      <c r="N70" s="26">
        <f>'Forecast Estimates'!N27</f>
        <v>0</v>
      </c>
      <c r="O70" s="26">
        <f>'Forecast Estimates'!O27</f>
        <v>0</v>
      </c>
      <c r="P70" s="26">
        <f>'Forecast Estimates'!P27</f>
        <v>0</v>
      </c>
      <c r="Q70" s="26">
        <f>'Forecast Estimates'!Q27</f>
        <v>0</v>
      </c>
      <c r="R70" s="26">
        <f>'Forecast Estimates'!R27</f>
        <v>554</v>
      </c>
      <c r="S70" s="26">
        <f>'Forecast Estimates'!S27</f>
        <v>0</v>
      </c>
      <c r="T70" s="26">
        <f>'Forecast Estimates'!T27</f>
        <v>300</v>
      </c>
      <c r="U70" s="26">
        <f>'Forecast Estimates'!U27</f>
        <v>0</v>
      </c>
      <c r="V70" s="26">
        <f>'Forecast Estimates'!V27</f>
        <v>0</v>
      </c>
      <c r="W70" s="26">
        <f>'Forecast Estimates'!W27</f>
        <v>0</v>
      </c>
      <c r="X70" s="26">
        <f>'Forecast Estimates'!X27</f>
        <v>0</v>
      </c>
      <c r="Y70" s="26">
        <f>'Forecast Estimates'!Y27</f>
        <v>0</v>
      </c>
      <c r="Z70" s="26">
        <f>'Forecast Estimates'!Z27</f>
        <v>0</v>
      </c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  <c r="BE70" s="65"/>
      <c r="BF70" s="65"/>
      <c r="BG70" s="65"/>
      <c r="BH70" s="65"/>
      <c r="BI70" s="65"/>
      <c r="BJ70" s="65"/>
      <c r="BK70" s="65"/>
      <c r="BL70" s="65"/>
      <c r="BM70" s="65"/>
      <c r="BN70" s="65"/>
      <c r="BO70" s="65"/>
      <c r="BP70" s="65"/>
      <c r="BQ70" s="65"/>
      <c r="BR70" s="65"/>
      <c r="BS70" s="65"/>
      <c r="BT70" s="65"/>
      <c r="BU70" s="65"/>
      <c r="BV70" s="65"/>
    </row>
    <row r="71" spans="1:74" s="26" customFormat="1" ht="13.5" x14ac:dyDescent="0.25">
      <c r="A71" s="26" t="s">
        <v>23</v>
      </c>
      <c r="B71" s="26">
        <f>'Forecast Estimates'!B28</f>
        <v>0</v>
      </c>
      <c r="C71" s="26">
        <f>'Forecast Estimates'!C28</f>
        <v>0</v>
      </c>
      <c r="D71" s="26">
        <f>'Forecast Estimates'!D28</f>
        <v>0</v>
      </c>
      <c r="E71" s="26">
        <f>'Forecast Estimates'!E28</f>
        <v>0</v>
      </c>
      <c r="F71" s="26">
        <f>'Forecast Estimates'!F28</f>
        <v>0</v>
      </c>
      <c r="G71" s="26">
        <f>'Forecast Estimates'!G28</f>
        <v>0</v>
      </c>
      <c r="H71" s="26">
        <f>'Forecast Estimates'!H28</f>
        <v>0</v>
      </c>
      <c r="I71" s="26">
        <f>'Forecast Estimates'!I28</f>
        <v>0</v>
      </c>
      <c r="J71" s="26">
        <f>'Forecast Estimates'!J28</f>
        <v>0</v>
      </c>
      <c r="K71" s="26">
        <f>'Forecast Estimates'!K28</f>
        <v>4000</v>
      </c>
      <c r="L71" s="26">
        <f>'Forecast Estimates'!L28</f>
        <v>35390</v>
      </c>
      <c r="M71" s="26">
        <f>'Forecast Estimates'!M28</f>
        <v>6820</v>
      </c>
      <c r="N71" s="26">
        <f>'Forecast Estimates'!N28</f>
        <v>0</v>
      </c>
      <c r="O71" s="26">
        <f>'Forecast Estimates'!O28</f>
        <v>-720</v>
      </c>
      <c r="P71" s="26">
        <f>'Forecast Estimates'!P28</f>
        <v>180</v>
      </c>
      <c r="Q71" s="26">
        <f>'Forecast Estimates'!Q28</f>
        <v>2111</v>
      </c>
      <c r="R71" s="26">
        <f>'Forecast Estimates'!R28</f>
        <v>170</v>
      </c>
      <c r="S71" s="26">
        <f>'Forecast Estimates'!S28</f>
        <v>178</v>
      </c>
      <c r="T71" s="26">
        <f>'Forecast Estimates'!T28</f>
        <v>213</v>
      </c>
      <c r="U71" s="26">
        <f>'Forecast Estimates'!U28</f>
        <v>0</v>
      </c>
      <c r="V71" s="26">
        <f>'Forecast Estimates'!V28</f>
        <v>650</v>
      </c>
      <c r="W71" s="26">
        <f>'Forecast Estimates'!W28</f>
        <v>0</v>
      </c>
      <c r="X71" s="26">
        <f>'Forecast Estimates'!X28</f>
        <v>0</v>
      </c>
      <c r="Y71" s="26">
        <f>'Forecast Estimates'!Y28</f>
        <v>0</v>
      </c>
      <c r="Z71" s="26">
        <f>'Forecast Estimates'!Z28</f>
        <v>0</v>
      </c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</row>
    <row r="72" spans="1:74" s="26" customFormat="1" ht="13.5" x14ac:dyDescent="0.25">
      <c r="A72" s="26" t="s">
        <v>81</v>
      </c>
      <c r="B72" s="26">
        <f>'Forecast Estimates'!B29</f>
        <v>0</v>
      </c>
      <c r="C72" s="26">
        <f>'Forecast Estimates'!C29</f>
        <v>0</v>
      </c>
      <c r="D72" s="26">
        <f>'Forecast Estimates'!D29</f>
        <v>0</v>
      </c>
      <c r="E72" s="26">
        <f>'Forecast Estimates'!E29</f>
        <v>0</v>
      </c>
      <c r="F72" s="26">
        <f>'Forecast Estimates'!F29</f>
        <v>0</v>
      </c>
      <c r="G72" s="26">
        <f>'Forecast Estimates'!G29</f>
        <v>0</v>
      </c>
      <c r="H72" s="26">
        <f>'Forecast Estimates'!H29</f>
        <v>0</v>
      </c>
      <c r="I72" s="26">
        <f>'Forecast Estimates'!I29</f>
        <v>0</v>
      </c>
      <c r="J72" s="26">
        <f>'Forecast Estimates'!J29</f>
        <v>0</v>
      </c>
      <c r="K72" s="26">
        <f>'Forecast Estimates'!K29</f>
        <v>-4000</v>
      </c>
      <c r="L72" s="26">
        <f>'Forecast Estimates'!L29</f>
        <v>-35390</v>
      </c>
      <c r="M72" s="26">
        <f>'Forecast Estimates'!M29</f>
        <v>-6743</v>
      </c>
      <c r="N72" s="26">
        <f>'Forecast Estimates'!N29</f>
        <v>0</v>
      </c>
      <c r="O72" s="26">
        <f>'Forecast Estimates'!O29</f>
        <v>720</v>
      </c>
      <c r="P72" s="26">
        <f>'Forecast Estimates'!P29</f>
        <v>-180</v>
      </c>
      <c r="Q72" s="26">
        <f>'Forecast Estimates'!Q29</f>
        <v>-2111</v>
      </c>
      <c r="R72" s="26">
        <f>'Forecast Estimates'!R29</f>
        <v>384</v>
      </c>
      <c r="S72" s="26">
        <f>'Forecast Estimates'!S29</f>
        <v>-178</v>
      </c>
      <c r="T72" s="26">
        <f>'Forecast Estimates'!T29</f>
        <v>87</v>
      </c>
      <c r="U72" s="26">
        <f>'Forecast Estimates'!U29</f>
        <v>0</v>
      </c>
      <c r="V72" s="26">
        <f>'Forecast Estimates'!V29</f>
        <v>-650</v>
      </c>
      <c r="W72" s="26">
        <f>'Forecast Estimates'!W29</f>
        <v>0</v>
      </c>
      <c r="X72" s="26">
        <f>'Forecast Estimates'!X29</f>
        <v>0</v>
      </c>
      <c r="Y72" s="26">
        <f>'Forecast Estimates'!Y29</f>
        <v>0</v>
      </c>
      <c r="Z72" s="26">
        <f>'Forecast Estimates'!Z29</f>
        <v>0</v>
      </c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/>
      <c r="BF72" s="65"/>
      <c r="BG72" s="65"/>
      <c r="BH72" s="65"/>
      <c r="BI72" s="65"/>
      <c r="BJ72" s="65"/>
      <c r="BK72" s="65"/>
      <c r="BL72" s="65"/>
      <c r="BM72" s="65"/>
      <c r="BN72" s="65"/>
      <c r="BO72" s="65"/>
      <c r="BP72" s="65"/>
      <c r="BQ72" s="65"/>
      <c r="BR72" s="65"/>
      <c r="BS72" s="65"/>
      <c r="BT72" s="65"/>
      <c r="BU72" s="65"/>
      <c r="BV72" s="65"/>
    </row>
    <row r="73" spans="1:74" s="26" customFormat="1" ht="13.5" x14ac:dyDescent="0.25">
      <c r="A73" s="26" t="s">
        <v>25</v>
      </c>
      <c r="B73" s="26">
        <f>'Forecast Estimates'!B30</f>
        <v>0</v>
      </c>
      <c r="C73" s="26">
        <f>'Forecast Estimates'!C30</f>
        <v>0</v>
      </c>
      <c r="D73" s="26">
        <f>'Forecast Estimates'!D30</f>
        <v>0</v>
      </c>
      <c r="E73" s="26">
        <f>'Forecast Estimates'!E30</f>
        <v>0</v>
      </c>
      <c r="F73" s="26">
        <f>'Forecast Estimates'!F30</f>
        <v>0</v>
      </c>
      <c r="G73" s="26">
        <f>'Forecast Estimates'!G30</f>
        <v>0</v>
      </c>
      <c r="H73" s="26">
        <f>'Forecast Estimates'!H30</f>
        <v>0</v>
      </c>
      <c r="I73" s="26">
        <f>'Forecast Estimates'!I30</f>
        <v>0</v>
      </c>
      <c r="J73" s="26">
        <f>'Forecast Estimates'!J30</f>
        <v>0</v>
      </c>
      <c r="K73" s="26">
        <f>'Forecast Estimates'!K30</f>
        <v>0</v>
      </c>
      <c r="L73" s="26">
        <f>'Forecast Estimates'!L30</f>
        <v>0</v>
      </c>
      <c r="M73" s="26">
        <f>'Forecast Estimates'!M30</f>
        <v>0</v>
      </c>
      <c r="N73" s="26">
        <f>'Forecast Estimates'!N30</f>
        <v>0</v>
      </c>
      <c r="O73" s="26">
        <f>'Forecast Estimates'!O30</f>
        <v>0</v>
      </c>
      <c r="P73" s="26">
        <f>'Forecast Estimates'!P30</f>
        <v>907</v>
      </c>
      <c r="Q73" s="26">
        <f>'Forecast Estimates'!Q30</f>
        <v>-895</v>
      </c>
      <c r="R73" s="26">
        <f>'Forecast Estimates'!R30</f>
        <v>-727</v>
      </c>
      <c r="S73" s="26">
        <f>'Forecast Estimates'!S30</f>
        <v>-68.7</v>
      </c>
      <c r="T73" s="26">
        <f>'Forecast Estimates'!T30</f>
        <v>851.5</v>
      </c>
      <c r="U73" s="26">
        <f>'Forecast Estimates'!U30</f>
        <v>957.5</v>
      </c>
      <c r="V73" s="26">
        <f>'Forecast Estimates'!V30</f>
        <v>1225</v>
      </c>
      <c r="W73" s="26">
        <f>'Forecast Estimates'!W30</f>
        <v>-35</v>
      </c>
      <c r="X73" s="26">
        <f>'Forecast Estimates'!X30</f>
        <v>-130</v>
      </c>
      <c r="Y73" s="26">
        <f>'Forecast Estimates'!Y30</f>
        <v>-20</v>
      </c>
      <c r="Z73" s="26">
        <f>'Forecast Estimates'!Z30</f>
        <v>-25</v>
      </c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65"/>
      <c r="BO73" s="65"/>
      <c r="BP73" s="65"/>
      <c r="BQ73" s="65"/>
      <c r="BR73" s="65"/>
      <c r="BS73" s="65"/>
      <c r="BT73" s="65"/>
      <c r="BU73" s="65"/>
      <c r="BV73" s="65"/>
    </row>
    <row r="74" spans="1:74" s="26" customFormat="1" ht="13.5" x14ac:dyDescent="0.25"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  <c r="BM74" s="65"/>
      <c r="BN74" s="65"/>
      <c r="BO74" s="65"/>
      <c r="BP74" s="65"/>
      <c r="BQ74" s="65"/>
      <c r="BR74" s="65"/>
      <c r="BS74" s="65"/>
      <c r="BT74" s="65"/>
      <c r="BU74" s="65"/>
      <c r="BV74" s="65"/>
    </row>
    <row r="75" spans="1:74" s="26" customFormat="1" ht="13.5" x14ac:dyDescent="0.25">
      <c r="A75" s="66" t="s">
        <v>82</v>
      </c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65"/>
      <c r="BJ75" s="65"/>
      <c r="BK75" s="65"/>
      <c r="BL75" s="65"/>
      <c r="BM75" s="65"/>
      <c r="BN75" s="65"/>
      <c r="BO75" s="65"/>
      <c r="BP75" s="65"/>
      <c r="BQ75" s="65"/>
      <c r="BR75" s="65"/>
      <c r="BS75" s="65"/>
      <c r="BT75" s="65"/>
      <c r="BU75" s="65"/>
      <c r="BV75" s="65"/>
    </row>
    <row r="76" spans="1:74" s="26" customFormat="1" ht="13.5" x14ac:dyDescent="0.25">
      <c r="A76" s="26" t="s">
        <v>83</v>
      </c>
      <c r="B76" s="31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  <c r="BH76" s="65"/>
      <c r="BI76" s="65"/>
      <c r="BJ76" s="65"/>
      <c r="BK76" s="65"/>
      <c r="BL76" s="65"/>
      <c r="BM76" s="65"/>
      <c r="BN76" s="65"/>
      <c r="BO76" s="65"/>
      <c r="BP76" s="65"/>
      <c r="BQ76" s="65"/>
      <c r="BR76" s="65"/>
      <c r="BS76" s="65"/>
      <c r="BT76" s="65"/>
      <c r="BU76" s="65"/>
      <c r="BV76" s="65"/>
    </row>
    <row r="77" spans="1:74" s="26" customFormat="1" ht="13.5" x14ac:dyDescent="0.25">
      <c r="A77" s="26" t="s">
        <v>73</v>
      </c>
      <c r="B77" s="31">
        <f>B58</f>
        <v>33486</v>
      </c>
      <c r="C77" s="31">
        <f t="shared" ref="C77:Y77" si="54">C58</f>
        <v>39652</v>
      </c>
      <c r="D77" s="31">
        <f t="shared" si="54"/>
        <v>45163</v>
      </c>
      <c r="E77" s="31">
        <f t="shared" si="54"/>
        <v>48056</v>
      </c>
      <c r="F77" s="31">
        <f t="shared" si="54"/>
        <v>51818</v>
      </c>
      <c r="G77" s="31">
        <f t="shared" si="54"/>
        <v>56795</v>
      </c>
      <c r="H77" s="31">
        <f t="shared" si="54"/>
        <v>62668</v>
      </c>
      <c r="I77" s="31">
        <f t="shared" si="54"/>
        <v>70875</v>
      </c>
      <c r="J77" s="31">
        <f t="shared" si="54"/>
        <v>78569</v>
      </c>
      <c r="K77" s="31">
        <f t="shared" si="54"/>
        <v>80027</v>
      </c>
      <c r="L77" s="31">
        <f t="shared" si="54"/>
        <v>109160</v>
      </c>
      <c r="M77" s="31">
        <f t="shared" si="54"/>
        <v>79696</v>
      </c>
      <c r="N77" s="31">
        <f t="shared" si="54"/>
        <v>73686</v>
      </c>
      <c r="O77" s="31">
        <f t="shared" si="54"/>
        <v>72607</v>
      </c>
      <c r="P77" s="31">
        <f t="shared" si="54"/>
        <v>73145</v>
      </c>
      <c r="Q77" s="31">
        <f t="shared" si="54"/>
        <v>76007</v>
      </c>
      <c r="R77" s="31">
        <f t="shared" si="54"/>
        <v>75361</v>
      </c>
      <c r="S77" s="31">
        <f t="shared" si="54"/>
        <v>77481</v>
      </c>
      <c r="T77" s="31">
        <f t="shared" si="54"/>
        <v>82168</v>
      </c>
      <c r="U77" s="31">
        <f t="shared" si="54"/>
        <v>85695</v>
      </c>
      <c r="V77" s="31">
        <f t="shared" si="54"/>
        <v>90685</v>
      </c>
      <c r="W77" s="31">
        <f t="shared" si="54"/>
        <v>92795</v>
      </c>
      <c r="X77" s="31">
        <f t="shared" si="54"/>
        <v>95735</v>
      </c>
      <c r="Y77" s="31">
        <f t="shared" si="54"/>
        <v>98785</v>
      </c>
      <c r="Z77" s="31">
        <f t="shared" ref="Z77" si="55">Z58</f>
        <v>101890</v>
      </c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65"/>
      <c r="BJ77" s="65"/>
      <c r="BK77" s="65"/>
      <c r="BL77" s="65"/>
      <c r="BM77" s="65"/>
      <c r="BN77" s="65"/>
      <c r="BO77" s="65"/>
      <c r="BP77" s="65"/>
      <c r="BQ77" s="65"/>
      <c r="BR77" s="65"/>
      <c r="BS77" s="65"/>
      <c r="BT77" s="65"/>
      <c r="BU77" s="65"/>
      <c r="BV77" s="65"/>
    </row>
    <row r="78" spans="1:74" s="26" customFormat="1" ht="13.5" x14ac:dyDescent="0.25">
      <c r="A78" s="26" t="s">
        <v>84</v>
      </c>
      <c r="B78" s="31">
        <f t="shared" ref="B78:W78" si="56">B60</f>
        <v>2107</v>
      </c>
      <c r="C78" s="31">
        <f t="shared" si="56"/>
        <v>1757</v>
      </c>
      <c r="D78" s="31">
        <f t="shared" si="56"/>
        <v>1793</v>
      </c>
      <c r="E78" s="31">
        <f t="shared" si="56"/>
        <v>1775</v>
      </c>
      <c r="F78" s="31">
        <f t="shared" si="56"/>
        <v>1714</v>
      </c>
      <c r="G78" s="31">
        <f t="shared" si="56"/>
        <v>1742</v>
      </c>
      <c r="H78" s="31">
        <f t="shared" si="56"/>
        <v>1850</v>
      </c>
      <c r="I78" s="31">
        <f t="shared" si="56"/>
        <v>1985</v>
      </c>
      <c r="J78" s="31">
        <f t="shared" si="56"/>
        <v>2403</v>
      </c>
      <c r="K78" s="31">
        <f t="shared" si="56"/>
        <v>3416</v>
      </c>
      <c r="L78" s="31">
        <f t="shared" si="56"/>
        <v>4748</v>
      </c>
      <c r="M78" s="31">
        <f t="shared" si="56"/>
        <v>5768</v>
      </c>
      <c r="N78" s="31">
        <f t="shared" si="56"/>
        <v>7298</v>
      </c>
      <c r="O78" s="31">
        <f t="shared" si="56"/>
        <v>7760</v>
      </c>
      <c r="P78" s="31">
        <f t="shared" si="56"/>
        <v>7589</v>
      </c>
      <c r="Q78" s="31">
        <f t="shared" si="56"/>
        <v>6850</v>
      </c>
      <c r="R78" s="31">
        <f t="shared" si="56"/>
        <v>6167</v>
      </c>
      <c r="S78" s="31">
        <f t="shared" si="56"/>
        <v>5838</v>
      </c>
      <c r="T78" s="31">
        <f t="shared" si="56"/>
        <v>5235</v>
      </c>
      <c r="U78" s="31">
        <f t="shared" si="56"/>
        <v>4680</v>
      </c>
      <c r="V78" s="31">
        <f t="shared" si="56"/>
        <v>4015</v>
      </c>
      <c r="W78" s="31">
        <f t="shared" si="56"/>
        <v>3700</v>
      </c>
      <c r="X78" s="31">
        <f>X60</f>
        <v>3870</v>
      </c>
      <c r="Y78" s="31">
        <f>Y60</f>
        <v>4045</v>
      </c>
      <c r="Z78" s="31">
        <f>Z60</f>
        <v>3935</v>
      </c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  <c r="BE78" s="65"/>
      <c r="BF78" s="65"/>
      <c r="BG78" s="65"/>
      <c r="BH78" s="65"/>
      <c r="BI78" s="65"/>
      <c r="BJ78" s="65"/>
      <c r="BK78" s="65"/>
      <c r="BL78" s="65"/>
      <c r="BM78" s="65"/>
      <c r="BN78" s="65"/>
      <c r="BO78" s="65"/>
      <c r="BP78" s="65"/>
      <c r="BQ78" s="65"/>
      <c r="BR78" s="65"/>
      <c r="BS78" s="65"/>
      <c r="BT78" s="65"/>
      <c r="BU78" s="65"/>
      <c r="BV78" s="65"/>
    </row>
    <row r="79" spans="1:74" s="26" customFormat="1" ht="13.5" x14ac:dyDescent="0.25">
      <c r="A79" s="26" t="s">
        <v>85</v>
      </c>
      <c r="B79" s="26">
        <f t="shared" ref="B79:W79" si="57">B62</f>
        <v>0</v>
      </c>
      <c r="C79" s="26">
        <f t="shared" si="57"/>
        <v>0</v>
      </c>
      <c r="D79" s="26">
        <f t="shared" si="57"/>
        <v>0</v>
      </c>
      <c r="E79" s="26">
        <f t="shared" si="57"/>
        <v>0</v>
      </c>
      <c r="F79" s="26">
        <f t="shared" si="57"/>
        <v>0</v>
      </c>
      <c r="G79" s="26">
        <f t="shared" si="57"/>
        <v>0</v>
      </c>
      <c r="H79" s="26">
        <f t="shared" si="57"/>
        <v>0</v>
      </c>
      <c r="I79" s="26">
        <f t="shared" si="57"/>
        <v>0</v>
      </c>
      <c r="J79" s="26">
        <f t="shared" si="57"/>
        <v>0</v>
      </c>
      <c r="K79" s="26">
        <f t="shared" si="57"/>
        <v>0</v>
      </c>
      <c r="L79" s="26">
        <f t="shared" si="57"/>
        <v>0</v>
      </c>
      <c r="M79" s="26">
        <f t="shared" si="57"/>
        <v>250</v>
      </c>
      <c r="N79" s="26">
        <f t="shared" si="57"/>
        <v>185.84022816999942</v>
      </c>
      <c r="O79" s="26">
        <f t="shared" si="57"/>
        <v>142.03942925000024</v>
      </c>
      <c r="P79" s="26">
        <f t="shared" si="57"/>
        <v>378.09179999999998</v>
      </c>
      <c r="Q79" s="26">
        <f t="shared" si="57"/>
        <v>380</v>
      </c>
      <c r="R79" s="26">
        <f t="shared" si="57"/>
        <v>400</v>
      </c>
      <c r="S79" s="26">
        <f t="shared" si="57"/>
        <v>500</v>
      </c>
      <c r="T79" s="26">
        <f t="shared" si="57"/>
        <v>600</v>
      </c>
      <c r="U79" s="26">
        <f t="shared" si="57"/>
        <v>690</v>
      </c>
      <c r="V79" s="26">
        <f t="shared" si="57"/>
        <v>700</v>
      </c>
      <c r="W79" s="26">
        <f t="shared" si="57"/>
        <v>730</v>
      </c>
      <c r="X79" s="26">
        <f>X62</f>
        <v>760</v>
      </c>
      <c r="Y79" s="26">
        <f>Y62</f>
        <v>795</v>
      </c>
      <c r="Z79" s="26">
        <f>Z62</f>
        <v>825</v>
      </c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65"/>
      <c r="BH79" s="65"/>
      <c r="BI79" s="65"/>
      <c r="BJ79" s="65"/>
      <c r="BK79" s="65"/>
      <c r="BL79" s="65"/>
      <c r="BM79" s="65"/>
      <c r="BN79" s="65"/>
      <c r="BO79" s="65"/>
      <c r="BP79" s="65"/>
      <c r="BQ79" s="65"/>
      <c r="BR79" s="65"/>
      <c r="BS79" s="65"/>
      <c r="BT79" s="65"/>
      <c r="BU79" s="65"/>
      <c r="BV79" s="65"/>
    </row>
    <row r="80" spans="1:74" s="26" customFormat="1" ht="13.5" x14ac:dyDescent="0.25">
      <c r="A80" s="26" t="s">
        <v>86</v>
      </c>
      <c r="B80" s="31">
        <f t="shared" ref="B80:W80" si="58">B61</f>
        <v>3800</v>
      </c>
      <c r="C80" s="31">
        <f t="shared" si="58"/>
        <v>5152</v>
      </c>
      <c r="D80" s="31">
        <f t="shared" si="58"/>
        <v>5741</v>
      </c>
      <c r="E80" s="31">
        <f t="shared" si="58"/>
        <v>5352</v>
      </c>
      <c r="F80" s="31">
        <f t="shared" si="58"/>
        <v>5506</v>
      </c>
      <c r="G80" s="31">
        <f t="shared" si="58"/>
        <v>6024</v>
      </c>
      <c r="H80" s="31">
        <f t="shared" si="58"/>
        <v>7028</v>
      </c>
      <c r="I80" s="31">
        <f t="shared" si="58"/>
        <v>9206</v>
      </c>
      <c r="J80" s="31">
        <f t="shared" si="58"/>
        <v>9877</v>
      </c>
      <c r="K80" s="31">
        <f t="shared" si="58"/>
        <v>6408</v>
      </c>
      <c r="L80" s="31">
        <f t="shared" si="58"/>
        <v>5692</v>
      </c>
      <c r="M80" s="31">
        <f t="shared" si="58"/>
        <v>4239</v>
      </c>
      <c r="N80" s="31">
        <f t="shared" si="58"/>
        <v>3568</v>
      </c>
      <c r="O80" s="31">
        <f t="shared" si="58"/>
        <v>3613</v>
      </c>
      <c r="P80" s="31">
        <f t="shared" si="58"/>
        <v>4279</v>
      </c>
      <c r="Q80" s="31">
        <f t="shared" si="58"/>
        <v>4680</v>
      </c>
      <c r="R80" s="31">
        <f t="shared" si="58"/>
        <v>5182</v>
      </c>
      <c r="S80" s="31">
        <f t="shared" si="58"/>
        <v>5251</v>
      </c>
      <c r="T80" s="31">
        <f t="shared" si="58"/>
        <v>6332</v>
      </c>
      <c r="U80" s="31">
        <f t="shared" si="58"/>
        <v>7935</v>
      </c>
      <c r="V80" s="31">
        <f t="shared" si="58"/>
        <v>8815</v>
      </c>
      <c r="W80" s="31">
        <f t="shared" si="58"/>
        <v>9065</v>
      </c>
      <c r="X80" s="31">
        <f>X61</f>
        <v>9385</v>
      </c>
      <c r="Y80" s="31">
        <f>Y61</f>
        <v>10025</v>
      </c>
      <c r="Z80" s="31">
        <f>Z61</f>
        <v>10695</v>
      </c>
      <c r="AA80" s="31"/>
      <c r="AB80" s="31"/>
      <c r="AC80" s="31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</row>
    <row r="81" spans="1:74" s="26" customFormat="1" ht="13.5" x14ac:dyDescent="0.25">
      <c r="A81" s="26" t="s">
        <v>87</v>
      </c>
      <c r="E81" s="31">
        <f>AVERAGE(B80:E80)</f>
        <v>5011.25</v>
      </c>
      <c r="F81" s="31">
        <f>AVERAGE(C80:F80)</f>
        <v>5437.75</v>
      </c>
      <c r="G81" s="31">
        <f t="shared" ref="G81:Z81" si="59">AVERAGE(D80:G80)</f>
        <v>5655.75</v>
      </c>
      <c r="H81" s="31">
        <f t="shared" si="59"/>
        <v>5977.5</v>
      </c>
      <c r="I81" s="31">
        <f t="shared" si="59"/>
        <v>6941</v>
      </c>
      <c r="J81" s="31">
        <f t="shared" si="59"/>
        <v>8033.75</v>
      </c>
      <c r="K81" s="31">
        <f t="shared" si="59"/>
        <v>8129.75</v>
      </c>
      <c r="L81" s="31">
        <f t="shared" si="59"/>
        <v>7795.75</v>
      </c>
      <c r="M81" s="31">
        <f t="shared" si="59"/>
        <v>6554</v>
      </c>
      <c r="N81" s="31">
        <f t="shared" si="59"/>
        <v>4976.75</v>
      </c>
      <c r="O81" s="31">
        <f t="shared" si="59"/>
        <v>4278</v>
      </c>
      <c r="P81" s="31">
        <f t="shared" si="59"/>
        <v>3924.75</v>
      </c>
      <c r="Q81" s="31">
        <f t="shared" si="59"/>
        <v>4035</v>
      </c>
      <c r="R81" s="31">
        <f t="shared" si="59"/>
        <v>4438.5</v>
      </c>
      <c r="S81" s="31">
        <f t="shared" si="59"/>
        <v>4848</v>
      </c>
      <c r="T81" s="31">
        <f t="shared" si="59"/>
        <v>5361.25</v>
      </c>
      <c r="U81" s="31">
        <f t="shared" si="59"/>
        <v>6175</v>
      </c>
      <c r="V81" s="31">
        <f t="shared" si="59"/>
        <v>7083.25</v>
      </c>
      <c r="W81" s="31">
        <f t="shared" si="59"/>
        <v>8036.75</v>
      </c>
      <c r="X81" s="31">
        <f t="shared" si="59"/>
        <v>8800</v>
      </c>
      <c r="Y81" s="31">
        <f t="shared" si="59"/>
        <v>9322.5</v>
      </c>
      <c r="Z81" s="31">
        <f t="shared" si="59"/>
        <v>9792.5</v>
      </c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</row>
    <row r="82" spans="1:74" s="26" customFormat="1" ht="13.5" x14ac:dyDescent="0.25">
      <c r="A82" s="26" t="s">
        <v>88</v>
      </c>
      <c r="B82" s="31">
        <f t="shared" ref="B82:Y82" si="60">B136</f>
        <v>-316.24132932692288</v>
      </c>
      <c r="C82" s="31">
        <f t="shared" si="60"/>
        <v>-495.12551099937173</v>
      </c>
      <c r="D82" s="31">
        <f t="shared" si="60"/>
        <v>-282.03471194315381</v>
      </c>
      <c r="E82" s="31">
        <f t="shared" si="60"/>
        <v>-244.6102627251372</v>
      </c>
      <c r="F82" s="31">
        <f t="shared" si="60"/>
        <v>-312.07166994563823</v>
      </c>
      <c r="G82" s="31">
        <f t="shared" si="60"/>
        <v>-453.63851972685927</v>
      </c>
      <c r="H82" s="31">
        <f t="shared" si="60"/>
        <v>-416.05732012696922</v>
      </c>
      <c r="I82" s="31">
        <f t="shared" si="60"/>
        <v>-313.45158170496063</v>
      </c>
      <c r="J82" s="31">
        <f t="shared" si="60"/>
        <v>641.09442052565669</v>
      </c>
      <c r="K82" s="31">
        <f t="shared" si="60"/>
        <v>2157.6530571797075</v>
      </c>
      <c r="L82" s="31">
        <f t="shared" si="60"/>
        <v>2340.2484599526606</v>
      </c>
      <c r="M82" s="31">
        <f t="shared" si="60"/>
        <v>3274.0354627007291</v>
      </c>
      <c r="N82" s="31">
        <f t="shared" si="60"/>
        <v>3296.8430539793394</v>
      </c>
      <c r="O82" s="31">
        <f t="shared" si="60"/>
        <v>2899.1020773500809</v>
      </c>
      <c r="P82" s="31">
        <f t="shared" si="60"/>
        <v>2372.2506034950002</v>
      </c>
      <c r="Q82" s="31">
        <f t="shared" si="60"/>
        <v>1832.6396507901427</v>
      </c>
      <c r="R82" s="31">
        <f t="shared" si="60"/>
        <v>1265.2794284797949</v>
      </c>
      <c r="S82" s="31">
        <f t="shared" si="60"/>
        <v>579.43804878048775</v>
      </c>
      <c r="T82" s="31">
        <f t="shared" si="60"/>
        <v>116.98016374980212</v>
      </c>
      <c r="U82" s="31">
        <f t="shared" si="60"/>
        <v>-167.14014833336736</v>
      </c>
      <c r="V82" s="31">
        <f t="shared" si="60"/>
        <v>93.472130368284752</v>
      </c>
      <c r="W82" s="31">
        <f t="shared" si="60"/>
        <v>212.96565226420725</v>
      </c>
      <c r="X82" s="31">
        <f t="shared" si="60"/>
        <v>201.24308693545163</v>
      </c>
      <c r="Y82" s="31">
        <f t="shared" si="60"/>
        <v>127.66358828841842</v>
      </c>
      <c r="Z82" s="31">
        <f t="shared" ref="Z82" si="61">Z136</f>
        <v>-22.888672700406918</v>
      </c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</row>
    <row r="83" spans="1:74" s="26" customFormat="1" ht="13.5" x14ac:dyDescent="0.25">
      <c r="A83" s="26" t="s">
        <v>89</v>
      </c>
      <c r="B83" s="26">
        <f t="shared" ref="B83:W83" si="62">B71</f>
        <v>0</v>
      </c>
      <c r="C83" s="26">
        <f t="shared" si="62"/>
        <v>0</v>
      </c>
      <c r="D83" s="26">
        <f t="shared" si="62"/>
        <v>0</v>
      </c>
      <c r="E83" s="26">
        <f t="shared" si="62"/>
        <v>0</v>
      </c>
      <c r="F83" s="26">
        <f t="shared" si="62"/>
        <v>0</v>
      </c>
      <c r="G83" s="26">
        <f t="shared" si="62"/>
        <v>0</v>
      </c>
      <c r="H83" s="26">
        <f t="shared" si="62"/>
        <v>0</v>
      </c>
      <c r="I83" s="26">
        <f t="shared" si="62"/>
        <v>0</v>
      </c>
      <c r="J83" s="26">
        <f t="shared" si="62"/>
        <v>0</v>
      </c>
      <c r="K83" s="26">
        <f t="shared" si="62"/>
        <v>4000</v>
      </c>
      <c r="L83" s="26">
        <f t="shared" si="62"/>
        <v>35390</v>
      </c>
      <c r="M83" s="26">
        <f t="shared" si="62"/>
        <v>6820</v>
      </c>
      <c r="N83" s="26">
        <f t="shared" si="62"/>
        <v>0</v>
      </c>
      <c r="O83" s="26">
        <f t="shared" si="62"/>
        <v>-720</v>
      </c>
      <c r="P83" s="26">
        <f t="shared" si="62"/>
        <v>180</v>
      </c>
      <c r="Q83" s="26">
        <f t="shared" si="62"/>
        <v>2111</v>
      </c>
      <c r="R83" s="26">
        <f t="shared" si="62"/>
        <v>170</v>
      </c>
      <c r="S83" s="26">
        <f t="shared" si="62"/>
        <v>178</v>
      </c>
      <c r="T83" s="26">
        <f t="shared" si="62"/>
        <v>213</v>
      </c>
      <c r="U83" s="26">
        <f t="shared" si="62"/>
        <v>0</v>
      </c>
      <c r="V83" s="26">
        <f t="shared" si="62"/>
        <v>650</v>
      </c>
      <c r="W83" s="26">
        <f t="shared" si="62"/>
        <v>0</v>
      </c>
      <c r="X83" s="26">
        <f>X71</f>
        <v>0</v>
      </c>
      <c r="Y83" s="26">
        <f>Y71</f>
        <v>0</v>
      </c>
      <c r="Z83" s="26">
        <f>Z71</f>
        <v>0</v>
      </c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</row>
    <row r="84" spans="1:74" s="26" customFormat="1" ht="13.5" x14ac:dyDescent="0.25"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</row>
    <row r="85" spans="1:74" s="26" customFormat="1" ht="13.5" x14ac:dyDescent="0.25">
      <c r="A85" s="26" t="s">
        <v>74</v>
      </c>
      <c r="B85" s="31">
        <f t="shared" ref="B85:W85" si="63">B73</f>
        <v>0</v>
      </c>
      <c r="C85" s="31">
        <f t="shared" si="63"/>
        <v>0</v>
      </c>
      <c r="D85" s="31">
        <f t="shared" si="63"/>
        <v>0</v>
      </c>
      <c r="E85" s="31">
        <f t="shared" si="63"/>
        <v>0</v>
      </c>
      <c r="F85" s="31">
        <f t="shared" si="63"/>
        <v>0</v>
      </c>
      <c r="G85" s="31">
        <f t="shared" si="63"/>
        <v>0</v>
      </c>
      <c r="H85" s="31">
        <f t="shared" si="63"/>
        <v>0</v>
      </c>
      <c r="I85" s="31">
        <f t="shared" si="63"/>
        <v>0</v>
      </c>
      <c r="J85" s="31">
        <f t="shared" si="63"/>
        <v>0</v>
      </c>
      <c r="K85" s="31">
        <f t="shared" si="63"/>
        <v>0</v>
      </c>
      <c r="L85" s="31">
        <f t="shared" si="63"/>
        <v>0</v>
      </c>
      <c r="M85" s="31">
        <f t="shared" si="63"/>
        <v>0</v>
      </c>
      <c r="N85" s="31">
        <f t="shared" si="63"/>
        <v>0</v>
      </c>
      <c r="O85" s="31">
        <f t="shared" si="63"/>
        <v>0</v>
      </c>
      <c r="P85" s="31">
        <f>P73</f>
        <v>907</v>
      </c>
      <c r="Q85" s="31">
        <f>Q73</f>
        <v>-895</v>
      </c>
      <c r="R85" s="31">
        <f t="shared" si="63"/>
        <v>-727</v>
      </c>
      <c r="S85" s="31">
        <f t="shared" si="63"/>
        <v>-68.7</v>
      </c>
      <c r="T85" s="31">
        <f t="shared" si="63"/>
        <v>851.5</v>
      </c>
      <c r="U85" s="31">
        <f t="shared" si="63"/>
        <v>957.5</v>
      </c>
      <c r="V85" s="31">
        <f t="shared" si="63"/>
        <v>1225</v>
      </c>
      <c r="W85" s="31">
        <f t="shared" si="63"/>
        <v>-35</v>
      </c>
      <c r="X85" s="31">
        <f>X73</f>
        <v>-130</v>
      </c>
      <c r="Y85" s="31">
        <f>Y73</f>
        <v>-20</v>
      </c>
      <c r="Z85" s="31">
        <f>Z73</f>
        <v>-25</v>
      </c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  <c r="BM85" s="65"/>
      <c r="BN85" s="65"/>
      <c r="BO85" s="65"/>
      <c r="BP85" s="65"/>
      <c r="BQ85" s="65"/>
      <c r="BR85" s="65"/>
      <c r="BS85" s="65"/>
      <c r="BT85" s="65"/>
      <c r="BU85" s="65"/>
      <c r="BV85" s="65"/>
    </row>
    <row r="86" spans="1:74" s="26" customFormat="1" ht="13.5" x14ac:dyDescent="0.25">
      <c r="A86" s="26" t="s">
        <v>90</v>
      </c>
      <c r="B86" s="31">
        <f t="shared" ref="B86:N86" si="64">B77-B78-B79-B80+B81-B82</f>
        <v>27895.241329326924</v>
      </c>
      <c r="C86" s="31">
        <f t="shared" si="64"/>
        <v>33238.125510999373</v>
      </c>
      <c r="D86" s="31">
        <f t="shared" si="64"/>
        <v>37911.034711943154</v>
      </c>
      <c r="E86" s="31">
        <f t="shared" si="64"/>
        <v>46184.860262725138</v>
      </c>
      <c r="F86" s="31">
        <f t="shared" si="64"/>
        <v>50347.821669945639</v>
      </c>
      <c r="G86" s="31">
        <f t="shared" si="64"/>
        <v>55138.388519726861</v>
      </c>
      <c r="H86" s="31">
        <f t="shared" si="64"/>
        <v>60183.557320126973</v>
      </c>
      <c r="I86" s="31">
        <f t="shared" si="64"/>
        <v>66938.451581704954</v>
      </c>
      <c r="J86" s="31">
        <f t="shared" si="64"/>
        <v>73681.655579474347</v>
      </c>
      <c r="K86" s="31">
        <f t="shared" si="64"/>
        <v>76175.096942820295</v>
      </c>
      <c r="L86" s="31">
        <f t="shared" si="64"/>
        <v>104175.50154004733</v>
      </c>
      <c r="M86" s="31">
        <f t="shared" si="64"/>
        <v>72718.964537299267</v>
      </c>
      <c r="N86" s="31">
        <f t="shared" si="64"/>
        <v>64314.066717850663</v>
      </c>
      <c r="O86" s="31">
        <f>O77-O78-O79-O80+O81-O82</f>
        <v>62470.858493399923</v>
      </c>
      <c r="P86" s="31">
        <f t="shared" ref="P86:Y86" si="65">P77-P78-P79-P80+P81-P82</f>
        <v>62451.407596505</v>
      </c>
      <c r="Q86" s="31">
        <f t="shared" si="65"/>
        <v>66299.360349209863</v>
      </c>
      <c r="R86" s="31">
        <f t="shared" si="65"/>
        <v>66785.2205715202</v>
      </c>
      <c r="S86" s="31">
        <f t="shared" si="65"/>
        <v>70160.561951219512</v>
      </c>
      <c r="T86" s="31">
        <f t="shared" si="65"/>
        <v>75245.269836250198</v>
      </c>
      <c r="U86" s="31">
        <f t="shared" si="65"/>
        <v>78732.140148333361</v>
      </c>
      <c r="V86" s="31">
        <f t="shared" si="65"/>
        <v>84144.777869631711</v>
      </c>
      <c r="W86" s="31">
        <f t="shared" si="65"/>
        <v>87123.784347735796</v>
      </c>
      <c r="X86" s="31">
        <f t="shared" si="65"/>
        <v>90318.756913064542</v>
      </c>
      <c r="Y86" s="31">
        <f t="shared" si="65"/>
        <v>93114.836411711585</v>
      </c>
      <c r="Z86" s="31">
        <f t="shared" ref="Z86" si="66">Z77-Z78-Z79-Z80+Z81-Z82</f>
        <v>96250.388672700414</v>
      </c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T86" s="65"/>
      <c r="BU86" s="65"/>
      <c r="BV86" s="65"/>
    </row>
    <row r="87" spans="1:74" s="26" customFormat="1" ht="13.5" x14ac:dyDescent="0.25">
      <c r="A87" s="26" t="s">
        <v>91</v>
      </c>
      <c r="B87" s="31">
        <f t="shared" ref="B87:Q87" si="67">B86</f>
        <v>27895.241329326924</v>
      </c>
      <c r="C87" s="31">
        <f t="shared" si="67"/>
        <v>33238.125510999373</v>
      </c>
      <c r="D87" s="31">
        <f t="shared" si="67"/>
        <v>37911.034711943154</v>
      </c>
      <c r="E87" s="31">
        <f t="shared" si="67"/>
        <v>46184.860262725138</v>
      </c>
      <c r="F87" s="31">
        <f t="shared" si="67"/>
        <v>50347.821669945639</v>
      </c>
      <c r="G87" s="31">
        <f t="shared" si="67"/>
        <v>55138.388519726861</v>
      </c>
      <c r="H87" s="31">
        <f t="shared" si="67"/>
        <v>60183.557320126973</v>
      </c>
      <c r="I87" s="31">
        <f t="shared" si="67"/>
        <v>66938.451581704954</v>
      </c>
      <c r="J87" s="31">
        <f t="shared" si="67"/>
        <v>73681.655579474347</v>
      </c>
      <c r="K87" s="31">
        <f t="shared" si="67"/>
        <v>76175.096942820295</v>
      </c>
      <c r="L87" s="31">
        <f t="shared" si="67"/>
        <v>104175.50154004733</v>
      </c>
      <c r="M87" s="31">
        <f t="shared" si="67"/>
        <v>72718.964537299267</v>
      </c>
      <c r="N87" s="31">
        <f t="shared" si="67"/>
        <v>64314.066717850663</v>
      </c>
      <c r="O87" s="31">
        <f t="shared" si="67"/>
        <v>62470.858493399923</v>
      </c>
      <c r="P87" s="31">
        <f t="shared" si="67"/>
        <v>62451.407596505</v>
      </c>
      <c r="Q87" s="31">
        <f t="shared" si="67"/>
        <v>66299.360349209863</v>
      </c>
      <c r="R87" s="31">
        <f>R86</f>
        <v>66785.2205715202</v>
      </c>
      <c r="S87" s="31">
        <f t="shared" ref="S87:Y87" si="68">S86-S83</f>
        <v>69982.561951219512</v>
      </c>
      <c r="T87" s="31">
        <f t="shared" si="68"/>
        <v>75032.269836250198</v>
      </c>
      <c r="U87" s="31">
        <f t="shared" si="68"/>
        <v>78732.140148333361</v>
      </c>
      <c r="V87" s="31">
        <f t="shared" si="68"/>
        <v>83494.777869631711</v>
      </c>
      <c r="W87" s="31">
        <f t="shared" si="68"/>
        <v>87123.784347735796</v>
      </c>
      <c r="X87" s="31">
        <f t="shared" si="68"/>
        <v>90318.756913064542</v>
      </c>
      <c r="Y87" s="31">
        <f t="shared" si="68"/>
        <v>93114.836411711585</v>
      </c>
      <c r="Z87" s="31">
        <f t="shared" ref="Z87" si="69">Z86-Z83</f>
        <v>96250.388672700414</v>
      </c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  <c r="BH87" s="65"/>
      <c r="BI87" s="65"/>
      <c r="BJ87" s="65"/>
      <c r="BK87" s="65"/>
      <c r="BL87" s="65"/>
      <c r="BM87" s="65"/>
      <c r="BN87" s="65"/>
      <c r="BO87" s="65"/>
      <c r="BP87" s="65"/>
      <c r="BQ87" s="65"/>
      <c r="BR87" s="65"/>
      <c r="BS87" s="65"/>
      <c r="BT87" s="65"/>
      <c r="BU87" s="65"/>
      <c r="BV87" s="65"/>
    </row>
    <row r="88" spans="1:74" s="26" customFormat="1" ht="13.5" x14ac:dyDescent="0.25">
      <c r="A88" s="26" t="s">
        <v>92</v>
      </c>
      <c r="B88" s="31">
        <f t="shared" ref="B88:Y88" si="70">B86-B85</f>
        <v>27895.241329326924</v>
      </c>
      <c r="C88" s="31">
        <f t="shared" si="70"/>
        <v>33238.125510999373</v>
      </c>
      <c r="D88" s="31">
        <f t="shared" si="70"/>
        <v>37911.034711943154</v>
      </c>
      <c r="E88" s="31">
        <f t="shared" si="70"/>
        <v>46184.860262725138</v>
      </c>
      <c r="F88" s="31">
        <f t="shared" si="70"/>
        <v>50347.821669945639</v>
      </c>
      <c r="G88" s="31">
        <f t="shared" si="70"/>
        <v>55138.388519726861</v>
      </c>
      <c r="H88" s="31">
        <f t="shared" si="70"/>
        <v>60183.557320126973</v>
      </c>
      <c r="I88" s="31">
        <f t="shared" si="70"/>
        <v>66938.451581704954</v>
      </c>
      <c r="J88" s="31">
        <f t="shared" si="70"/>
        <v>73681.655579474347</v>
      </c>
      <c r="K88" s="31">
        <f t="shared" si="70"/>
        <v>76175.096942820295</v>
      </c>
      <c r="L88" s="31">
        <f t="shared" si="70"/>
        <v>104175.50154004733</v>
      </c>
      <c r="M88" s="31">
        <f t="shared" si="70"/>
        <v>72718.964537299267</v>
      </c>
      <c r="N88" s="31">
        <f t="shared" si="70"/>
        <v>64314.066717850663</v>
      </c>
      <c r="O88" s="31">
        <f t="shared" si="70"/>
        <v>62470.858493399923</v>
      </c>
      <c r="P88" s="31">
        <f t="shared" si="70"/>
        <v>61544.407596505</v>
      </c>
      <c r="Q88" s="31">
        <f t="shared" si="70"/>
        <v>67194.360349209863</v>
      </c>
      <c r="R88" s="31">
        <f t="shared" si="70"/>
        <v>67512.2205715202</v>
      </c>
      <c r="S88" s="31">
        <f t="shared" si="70"/>
        <v>70229.261951219509</v>
      </c>
      <c r="T88" s="31">
        <f t="shared" si="70"/>
        <v>74393.769836250198</v>
      </c>
      <c r="U88" s="31">
        <f t="shared" si="70"/>
        <v>77774.640148333361</v>
      </c>
      <c r="V88" s="31">
        <f t="shared" si="70"/>
        <v>82919.777869631711</v>
      </c>
      <c r="W88" s="31">
        <f t="shared" si="70"/>
        <v>87158.784347735796</v>
      </c>
      <c r="X88" s="31">
        <f t="shared" si="70"/>
        <v>90448.756913064542</v>
      </c>
      <c r="Y88" s="31">
        <f t="shared" si="70"/>
        <v>93134.836411711585</v>
      </c>
      <c r="Z88" s="31">
        <f t="shared" ref="Z88" si="71">Z86-Z85</f>
        <v>96275.388672700414</v>
      </c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</row>
    <row r="89" spans="1:74" s="26" customFormat="1" ht="13.5" x14ac:dyDescent="0.25">
      <c r="A89" s="26" t="s">
        <v>93</v>
      </c>
      <c r="B89" s="31">
        <f t="shared" ref="B89:Y89" si="72">B87-B85</f>
        <v>27895.241329326924</v>
      </c>
      <c r="C89" s="31">
        <f t="shared" si="72"/>
        <v>33238.125510999373</v>
      </c>
      <c r="D89" s="31">
        <f t="shared" si="72"/>
        <v>37911.034711943154</v>
      </c>
      <c r="E89" s="31">
        <f t="shared" si="72"/>
        <v>46184.860262725138</v>
      </c>
      <c r="F89" s="31">
        <f t="shared" si="72"/>
        <v>50347.821669945639</v>
      </c>
      <c r="G89" s="31">
        <f t="shared" si="72"/>
        <v>55138.388519726861</v>
      </c>
      <c r="H89" s="31">
        <f t="shared" si="72"/>
        <v>60183.557320126973</v>
      </c>
      <c r="I89" s="31">
        <f t="shared" si="72"/>
        <v>66938.451581704954</v>
      </c>
      <c r="J89" s="31">
        <f t="shared" si="72"/>
        <v>73681.655579474347</v>
      </c>
      <c r="K89" s="31">
        <f t="shared" si="72"/>
        <v>76175.096942820295</v>
      </c>
      <c r="L89" s="31">
        <f t="shared" si="72"/>
        <v>104175.50154004733</v>
      </c>
      <c r="M89" s="31">
        <f t="shared" si="72"/>
        <v>72718.964537299267</v>
      </c>
      <c r="N89" s="31">
        <f t="shared" si="72"/>
        <v>64314.066717850663</v>
      </c>
      <c r="O89" s="31">
        <f t="shared" si="72"/>
        <v>62470.858493399923</v>
      </c>
      <c r="P89" s="31">
        <f t="shared" si="72"/>
        <v>61544.407596505</v>
      </c>
      <c r="Q89" s="31">
        <f t="shared" si="72"/>
        <v>67194.360349209863</v>
      </c>
      <c r="R89" s="31">
        <f t="shared" si="72"/>
        <v>67512.2205715202</v>
      </c>
      <c r="S89" s="31">
        <f t="shared" si="72"/>
        <v>70051.261951219509</v>
      </c>
      <c r="T89" s="31">
        <f t="shared" si="72"/>
        <v>74180.769836250198</v>
      </c>
      <c r="U89" s="31">
        <f t="shared" si="72"/>
        <v>77774.640148333361</v>
      </c>
      <c r="V89" s="31">
        <f t="shared" si="72"/>
        <v>82269.777869631711</v>
      </c>
      <c r="W89" s="31">
        <f t="shared" si="72"/>
        <v>87158.784347735796</v>
      </c>
      <c r="X89" s="31">
        <f t="shared" si="72"/>
        <v>90448.756913064542</v>
      </c>
      <c r="Y89" s="31">
        <f t="shared" si="72"/>
        <v>93134.836411711585</v>
      </c>
      <c r="Z89" s="31">
        <f t="shared" ref="Z89" si="73">Z87-Z85</f>
        <v>96275.388672700414</v>
      </c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</row>
    <row r="90" spans="1:74" s="26" customFormat="1" ht="13.5" x14ac:dyDescent="0.25">
      <c r="A90" s="26" t="s">
        <v>94</v>
      </c>
      <c r="B90" s="40" t="e">
        <f t="shared" ref="B90:L90" si="74">100*(B88-A86)/A86</f>
        <v>#VALUE!</v>
      </c>
      <c r="C90" s="40">
        <f t="shared" si="74"/>
        <v>19.153389349083525</v>
      </c>
      <c r="D90" s="40">
        <f t="shared" si="74"/>
        <v>14.058883072083567</v>
      </c>
      <c r="E90" s="40">
        <f t="shared" si="74"/>
        <v>21.824320052587414</v>
      </c>
      <c r="F90" s="40">
        <f t="shared" si="74"/>
        <v>9.0136927632545891</v>
      </c>
      <c r="G90" s="40">
        <f t="shared" si="74"/>
        <v>9.5149436279204078</v>
      </c>
      <c r="H90" s="40">
        <f t="shared" si="74"/>
        <v>9.1500113366481521</v>
      </c>
      <c r="I90" s="40">
        <f t="shared" si="74"/>
        <v>11.223820196681805</v>
      </c>
      <c r="J90" s="40">
        <f t="shared" si="74"/>
        <v>10.073737647693644</v>
      </c>
      <c r="K90" s="40">
        <f t="shared" si="74"/>
        <v>3.3840734762758928</v>
      </c>
      <c r="L90" s="40">
        <f t="shared" si="74"/>
        <v>36.757950722721269</v>
      </c>
      <c r="M90" s="40">
        <f>100*(M88-L86)/L86</f>
        <v>-30.19571447962311</v>
      </c>
      <c r="N90" s="40">
        <f>100*(N88-M86)/M86</f>
        <v>-11.558054866330687</v>
      </c>
      <c r="O90" s="40">
        <f t="shared" ref="O90:Z90" si="75">100*(O88-N86)/N86</f>
        <v>-2.8659488017403651</v>
      </c>
      <c r="P90" s="40">
        <f t="shared" si="75"/>
        <v>-1.483012910720289</v>
      </c>
      <c r="Q90" s="40">
        <f t="shared" si="75"/>
        <v>7.5946290648063721</v>
      </c>
      <c r="R90" s="40">
        <f t="shared" si="75"/>
        <v>1.8293694176263522</v>
      </c>
      <c r="S90" s="40">
        <f t="shared" si="75"/>
        <v>5.1568915251407903</v>
      </c>
      <c r="T90" s="40">
        <f t="shared" si="75"/>
        <v>6.0336003123434301</v>
      </c>
      <c r="U90" s="40">
        <f t="shared" si="75"/>
        <v>3.3615007529212324</v>
      </c>
      <c r="V90" s="40">
        <f t="shared" si="75"/>
        <v>5.3188414711053627</v>
      </c>
      <c r="W90" s="40">
        <f t="shared" si="75"/>
        <v>3.5819293299149062</v>
      </c>
      <c r="X90" s="40">
        <f t="shared" si="75"/>
        <v>3.8163775715456012</v>
      </c>
      <c r="Y90" s="40">
        <f t="shared" si="75"/>
        <v>3.1179342972552568</v>
      </c>
      <c r="Z90" s="40">
        <f t="shared" si="75"/>
        <v>3.3942520685042066</v>
      </c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  <c r="BP90" s="65"/>
      <c r="BQ90" s="65"/>
      <c r="BR90" s="65"/>
      <c r="BS90" s="65"/>
      <c r="BT90" s="65"/>
      <c r="BU90" s="65"/>
      <c r="BV90" s="65"/>
    </row>
    <row r="91" spans="1:74" s="26" customFormat="1" ht="13.5" x14ac:dyDescent="0.25">
      <c r="A91" s="26" t="s">
        <v>95</v>
      </c>
      <c r="B91" s="40" t="e">
        <f t="shared" ref="B91:Y91" si="76">100*((1+B90/100)/(1+B94/100)-1)</f>
        <v>#VALUE!</v>
      </c>
      <c r="C91" s="40">
        <f t="shared" si="76"/>
        <v>11.476141819703333</v>
      </c>
      <c r="D91" s="40">
        <f t="shared" si="76"/>
        <v>8.3703390163843761</v>
      </c>
      <c r="E91" s="40">
        <f t="shared" si="76"/>
        <v>17.228877334355364</v>
      </c>
      <c r="F91" s="40">
        <f t="shared" si="76"/>
        <v>8.452676891871258</v>
      </c>
      <c r="G91" s="40">
        <f t="shared" si="76"/>
        <v>6.2054079744359836</v>
      </c>
      <c r="H91" s="40">
        <f t="shared" si="76"/>
        <v>5.5051991293439517</v>
      </c>
      <c r="I91" s="40">
        <f t="shared" si="76"/>
        <v>9.8937535356148576</v>
      </c>
      <c r="J91" s="40">
        <f t="shared" si="76"/>
        <v>10.423741725014013</v>
      </c>
      <c r="K91" s="40">
        <f t="shared" si="76"/>
        <v>8.3258195238280273</v>
      </c>
      <c r="L91" s="40">
        <f t="shared" si="76"/>
        <v>41.199892416604555</v>
      </c>
      <c r="M91" s="40">
        <f t="shared" si="76"/>
        <v>-31.225077655392987</v>
      </c>
      <c r="N91" s="40">
        <f t="shared" si="76"/>
        <v>-13.529190580975857</v>
      </c>
      <c r="O91" s="40">
        <f t="shared" si="76"/>
        <v>-4.0435626826576083</v>
      </c>
      <c r="P91" s="40">
        <f t="shared" si="76"/>
        <v>-1.373752022847452</v>
      </c>
      <c r="Q91" s="40">
        <f t="shared" si="76"/>
        <v>7.8157989514396231</v>
      </c>
      <c r="R91" s="40">
        <f t="shared" si="76"/>
        <v>2.1352551554800314</v>
      </c>
      <c r="S91" s="40">
        <f t="shared" si="76"/>
        <v>3.982664064743302</v>
      </c>
      <c r="T91" s="40">
        <f t="shared" si="76"/>
        <v>5.172341953687698</v>
      </c>
      <c r="U91" s="40">
        <f t="shared" si="76"/>
        <v>2.918042771622642</v>
      </c>
      <c r="V91" s="40">
        <f t="shared" si="76"/>
        <v>3.6134154986616762</v>
      </c>
      <c r="W91" s="40">
        <f t="shared" si="76"/>
        <v>2.1141516122698656</v>
      </c>
      <c r="X91" s="40">
        <f t="shared" si="76"/>
        <v>2.4032969962959783</v>
      </c>
      <c r="Y91" s="40">
        <f t="shared" si="76"/>
        <v>1.7068458828300992</v>
      </c>
      <c r="Z91" s="40">
        <f t="shared" ref="Z91" si="77">100*((1+Z90/100)/(1+Z94/100)-1)</f>
        <v>1.9938699678662353</v>
      </c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</row>
    <row r="92" spans="1:74" s="26" customFormat="1" ht="13.5" x14ac:dyDescent="0.25">
      <c r="A92" s="26" t="s">
        <v>96</v>
      </c>
      <c r="B92" s="40" t="e">
        <f t="shared" ref="B92:Z92" si="78">100*(B89-A87)/A87</f>
        <v>#VALUE!</v>
      </c>
      <c r="C92" s="40">
        <f t="shared" si="78"/>
        <v>19.153389349083525</v>
      </c>
      <c r="D92" s="40">
        <f t="shared" si="78"/>
        <v>14.058883072083567</v>
      </c>
      <c r="E92" s="40">
        <f t="shared" si="78"/>
        <v>21.824320052587414</v>
      </c>
      <c r="F92" s="40">
        <f t="shared" si="78"/>
        <v>9.0136927632545891</v>
      </c>
      <c r="G92" s="40">
        <f t="shared" si="78"/>
        <v>9.5149436279204078</v>
      </c>
      <c r="H92" s="40">
        <f t="shared" si="78"/>
        <v>9.1500113366481521</v>
      </c>
      <c r="I92" s="40">
        <f t="shared" si="78"/>
        <v>11.223820196681805</v>
      </c>
      <c r="J92" s="40">
        <f t="shared" si="78"/>
        <v>10.073737647693644</v>
      </c>
      <c r="K92" s="40">
        <f t="shared" si="78"/>
        <v>3.3840734762758928</v>
      </c>
      <c r="L92" s="40">
        <f t="shared" si="78"/>
        <v>36.757950722721269</v>
      </c>
      <c r="M92" s="40">
        <f t="shared" si="78"/>
        <v>-30.19571447962311</v>
      </c>
      <c r="N92" s="40">
        <f t="shared" si="78"/>
        <v>-11.558054866330687</v>
      </c>
      <c r="O92" s="40">
        <f t="shared" si="78"/>
        <v>-2.8659488017403651</v>
      </c>
      <c r="P92" s="40">
        <f t="shared" si="78"/>
        <v>-1.483012910720289</v>
      </c>
      <c r="Q92" s="40">
        <f t="shared" si="78"/>
        <v>7.5946290648063721</v>
      </c>
      <c r="R92" s="40">
        <f t="shared" si="78"/>
        <v>1.8293694176263522</v>
      </c>
      <c r="S92" s="40">
        <f t="shared" si="78"/>
        <v>4.8903654906727603</v>
      </c>
      <c r="T92" s="40">
        <f t="shared" si="78"/>
        <v>5.9989342601618327</v>
      </c>
      <c r="U92" s="40">
        <f t="shared" si="78"/>
        <v>3.6549211666768038</v>
      </c>
      <c r="V92" s="40">
        <f t="shared" si="78"/>
        <v>4.4932574100403597</v>
      </c>
      <c r="W92" s="40">
        <f t="shared" si="78"/>
        <v>4.388306157092897</v>
      </c>
      <c r="X92" s="40">
        <f t="shared" si="78"/>
        <v>3.8163775715456012</v>
      </c>
      <c r="Y92" s="40">
        <f t="shared" si="78"/>
        <v>3.1179342972552568</v>
      </c>
      <c r="Z92" s="40">
        <f t="shared" si="78"/>
        <v>3.3942520685042066</v>
      </c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</row>
    <row r="93" spans="1:74" s="26" customFormat="1" ht="13.5" x14ac:dyDescent="0.25">
      <c r="A93" s="26" t="s">
        <v>97</v>
      </c>
      <c r="B93" s="40" t="e">
        <f t="shared" ref="B93:Y93" si="79">100*((1+B92/100)/(1+B94/100)-1)</f>
        <v>#VALUE!</v>
      </c>
      <c r="C93" s="40">
        <f t="shared" si="79"/>
        <v>11.476141819703333</v>
      </c>
      <c r="D93" s="40">
        <f t="shared" si="79"/>
        <v>8.3703390163843761</v>
      </c>
      <c r="E93" s="40">
        <f t="shared" si="79"/>
        <v>17.228877334355364</v>
      </c>
      <c r="F93" s="40">
        <f t="shared" si="79"/>
        <v>8.452676891871258</v>
      </c>
      <c r="G93" s="40">
        <f t="shared" si="79"/>
        <v>6.2054079744359836</v>
      </c>
      <c r="H93" s="40">
        <f t="shared" si="79"/>
        <v>5.5051991293439517</v>
      </c>
      <c r="I93" s="40">
        <f t="shared" si="79"/>
        <v>9.8937535356148576</v>
      </c>
      <c r="J93" s="40">
        <f t="shared" si="79"/>
        <v>10.423741725014013</v>
      </c>
      <c r="K93" s="40">
        <f t="shared" si="79"/>
        <v>8.3258195238280273</v>
      </c>
      <c r="L93" s="40">
        <f t="shared" si="79"/>
        <v>41.199892416604555</v>
      </c>
      <c r="M93" s="40">
        <f t="shared" si="79"/>
        <v>-31.225077655392987</v>
      </c>
      <c r="N93" s="40">
        <f t="shared" si="79"/>
        <v>-13.529190580975857</v>
      </c>
      <c r="O93" s="40">
        <f t="shared" si="79"/>
        <v>-4.0435626826576083</v>
      </c>
      <c r="P93" s="40">
        <f t="shared" si="79"/>
        <v>-1.373752022847452</v>
      </c>
      <c r="Q93" s="40">
        <f t="shared" si="79"/>
        <v>7.8157989514396231</v>
      </c>
      <c r="R93" s="40">
        <f t="shared" si="79"/>
        <v>2.1352551554800314</v>
      </c>
      <c r="S93" s="40">
        <f t="shared" si="79"/>
        <v>3.7191141755763102</v>
      </c>
      <c r="T93" s="40">
        <f t="shared" si="79"/>
        <v>5.1379574766588387</v>
      </c>
      <c r="U93" s="40">
        <f t="shared" si="79"/>
        <v>3.2102043063622743</v>
      </c>
      <c r="V93" s="40">
        <f t="shared" si="79"/>
        <v>2.8012001044041446</v>
      </c>
      <c r="W93" s="40">
        <f t="shared" si="79"/>
        <v>2.9091019102587046</v>
      </c>
      <c r="X93" s="40">
        <f t="shared" si="79"/>
        <v>2.4032969962959783</v>
      </c>
      <c r="Y93" s="40">
        <f t="shared" si="79"/>
        <v>1.7068458828300992</v>
      </c>
      <c r="Z93" s="40">
        <f t="shared" ref="Z93" si="80">100*((1+Z92/100)/(1+Z94/100)-1)</f>
        <v>1.9938699678662353</v>
      </c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</row>
    <row r="94" spans="1:74" s="26" customFormat="1" ht="13.5" x14ac:dyDescent="0.25">
      <c r="A94" s="26" t="s">
        <v>17</v>
      </c>
      <c r="B94" s="40"/>
      <c r="C94" s="40">
        <f t="shared" ref="C94:Q94" si="81">C124</f>
        <v>6.8868974150514184</v>
      </c>
      <c r="D94" s="40">
        <f t="shared" si="81"/>
        <v>5.2491706746798483</v>
      </c>
      <c r="E94" s="40">
        <f t="shared" si="81"/>
        <v>3.9200603321697836</v>
      </c>
      <c r="F94" s="40">
        <f t="shared" si="81"/>
        <v>0.51729093966270678</v>
      </c>
      <c r="G94" s="40">
        <f t="shared" si="81"/>
        <v>3.1161649077992681</v>
      </c>
      <c r="H94" s="40">
        <f t="shared" si="81"/>
        <v>3.4546280537661955</v>
      </c>
      <c r="I94" s="40">
        <f t="shared" si="81"/>
        <v>1.2103205307623766</v>
      </c>
      <c r="J94" s="40">
        <f t="shared" si="81"/>
        <v>-0.31696451492468913</v>
      </c>
      <c r="K94" s="40">
        <f t="shared" si="81"/>
        <v>-4.5619281435162478</v>
      </c>
      <c r="L94" s="40">
        <f t="shared" si="81"/>
        <v>-3.1458534548861494</v>
      </c>
      <c r="M94" s="40">
        <f t="shared" si="81"/>
        <v>1.4967129597211359</v>
      </c>
      <c r="N94" s="40">
        <f t="shared" si="81"/>
        <v>2.2795388731627897</v>
      </c>
      <c r="O94" s="40">
        <f t="shared" si="81"/>
        <v>1.2272380195011756</v>
      </c>
      <c r="P94" s="40">
        <f t="shared" si="81"/>
        <v>-0.11078276839463497</v>
      </c>
      <c r="Q94" s="40">
        <f t="shared" si="81"/>
        <v>-0.20513680627906594</v>
      </c>
      <c r="R94" s="40">
        <f t="shared" ref="R94:W94" si="82">R124</f>
        <v>-0.29949084416349692</v>
      </c>
      <c r="S94" s="40">
        <f t="shared" si="82"/>
        <v>1.1292531028695096</v>
      </c>
      <c r="T94" s="40">
        <f t="shared" si="82"/>
        <v>0.81890194955911433</v>
      </c>
      <c r="U94" s="40">
        <f t="shared" si="82"/>
        <v>0.43088458481728154</v>
      </c>
      <c r="V94" s="40">
        <f t="shared" si="82"/>
        <v>1.6459509265629002</v>
      </c>
      <c r="W94" s="40">
        <f t="shared" si="82"/>
        <v>1.4373891321334487</v>
      </c>
      <c r="X94" s="40">
        <f>X124</f>
        <v>1.3799170697606833</v>
      </c>
      <c r="Y94" s="40">
        <f>Y124</f>
        <v>1.3874075065220204</v>
      </c>
      <c r="Z94" s="40">
        <f>Z124</f>
        <v>1.3730061434860552</v>
      </c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  <c r="BE94" s="65"/>
      <c r="BF94" s="65"/>
      <c r="BG94" s="65"/>
      <c r="BH94" s="65"/>
      <c r="BI94" s="65"/>
      <c r="BJ94" s="65"/>
      <c r="BK94" s="65"/>
      <c r="BL94" s="65"/>
      <c r="BM94" s="65"/>
      <c r="BN94" s="65"/>
      <c r="BO94" s="65"/>
      <c r="BP94" s="65"/>
      <c r="BQ94" s="65"/>
      <c r="BR94" s="65"/>
      <c r="BS94" s="65"/>
      <c r="BT94" s="65"/>
      <c r="BU94" s="65"/>
      <c r="BV94" s="65"/>
    </row>
    <row r="95" spans="1:74" s="26" customFormat="1" ht="13.5" x14ac:dyDescent="0.2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  <c r="BB95" s="65"/>
      <c r="BC95" s="65"/>
      <c r="BD95" s="65"/>
      <c r="BE95" s="65"/>
      <c r="BF95" s="65"/>
      <c r="BG95" s="65"/>
      <c r="BH95" s="65"/>
      <c r="BI95" s="65"/>
      <c r="BJ95" s="65"/>
      <c r="BK95" s="65"/>
      <c r="BL95" s="65"/>
      <c r="BM95" s="65"/>
      <c r="BN95" s="65"/>
      <c r="BO95" s="65"/>
      <c r="BP95" s="65"/>
      <c r="BQ95" s="65"/>
      <c r="BR95" s="65"/>
      <c r="BS95" s="65"/>
      <c r="BT95" s="65"/>
      <c r="BU95" s="65"/>
      <c r="BV95" s="65"/>
    </row>
    <row r="96" spans="1:74" s="26" customFormat="1" ht="13.5" x14ac:dyDescent="0.25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  <c r="BE96" s="65"/>
      <c r="BF96" s="65"/>
      <c r="BG96" s="65"/>
      <c r="BH96" s="65"/>
      <c r="BI96" s="65"/>
      <c r="BJ96" s="65"/>
      <c r="BK96" s="65"/>
      <c r="BL96" s="65"/>
      <c r="BM96" s="65"/>
      <c r="BN96" s="65"/>
      <c r="BO96" s="65"/>
      <c r="BP96" s="65"/>
      <c r="BQ96" s="65"/>
      <c r="BR96" s="65"/>
      <c r="BS96" s="65"/>
      <c r="BT96" s="65"/>
      <c r="BU96" s="65"/>
      <c r="BV96" s="65"/>
    </row>
    <row r="97" spans="1:74" s="26" customFormat="1" ht="13.5" x14ac:dyDescent="0.25">
      <c r="A97" s="50" t="s">
        <v>104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  <c r="BE97" s="65"/>
      <c r="BF97" s="65"/>
      <c r="BG97" s="65"/>
      <c r="BH97" s="65"/>
      <c r="BI97" s="65"/>
      <c r="BJ97" s="65"/>
      <c r="BK97" s="65"/>
      <c r="BL97" s="65"/>
      <c r="BM97" s="65"/>
      <c r="BN97" s="65"/>
      <c r="BO97" s="65"/>
      <c r="BP97" s="65"/>
      <c r="BQ97" s="65"/>
      <c r="BR97" s="65"/>
      <c r="BS97" s="65"/>
      <c r="BT97" s="65"/>
      <c r="BU97" s="65"/>
      <c r="BV97" s="65"/>
    </row>
    <row r="98" spans="1:74" s="26" customFormat="1" ht="13.5" x14ac:dyDescent="0.25">
      <c r="A98" s="24" t="s">
        <v>98</v>
      </c>
      <c r="B98" s="67" t="e">
        <f t="shared" ref="B98:Z98" si="83">(B77-A77)/A87*100</f>
        <v>#VALUE!</v>
      </c>
      <c r="C98" s="67">
        <f t="shared" si="83"/>
        <v>22.1041285400802</v>
      </c>
      <c r="D98" s="67">
        <f t="shared" si="83"/>
        <v>16.580357391623256</v>
      </c>
      <c r="E98" s="67">
        <f t="shared" si="83"/>
        <v>7.6310235845095917</v>
      </c>
      <c r="F98" s="67">
        <f t="shared" si="83"/>
        <v>8.1455264313882392</v>
      </c>
      <c r="G98" s="67">
        <f t="shared" si="83"/>
        <v>9.8852340278525777</v>
      </c>
      <c r="H98" s="67">
        <f t="shared" si="83"/>
        <v>10.65138129290597</v>
      </c>
      <c r="I98" s="67">
        <f t="shared" si="83"/>
        <v>13.636614991608949</v>
      </c>
      <c r="J98" s="67">
        <f t="shared" si="83"/>
        <v>11.494140988021986</v>
      </c>
      <c r="K98" s="67">
        <f t="shared" si="83"/>
        <v>1.9787828985837259</v>
      </c>
      <c r="L98" s="67">
        <f t="shared" si="83"/>
        <v>38.244782309720264</v>
      </c>
      <c r="M98" s="67">
        <f t="shared" si="83"/>
        <v>-28.283041179958605</v>
      </c>
      <c r="N98" s="67">
        <f t="shared" si="83"/>
        <v>-8.2646941389234581</v>
      </c>
      <c r="O98" s="67">
        <f t="shared" si="83"/>
        <v>-1.6777045132811024</v>
      </c>
      <c r="P98" s="67">
        <f t="shared" si="83"/>
        <v>0.86120154736922649</v>
      </c>
      <c r="Q98" s="67">
        <f t="shared" si="83"/>
        <v>4.5827629995006989</v>
      </c>
      <c r="R98" s="67">
        <f t="shared" si="83"/>
        <v>-0.97436837489443262</v>
      </c>
      <c r="S98" s="67">
        <f t="shared" si="83"/>
        <v>3.1743550172596868</v>
      </c>
      <c r="T98" s="67">
        <f t="shared" si="83"/>
        <v>6.697382704089935</v>
      </c>
      <c r="U98" s="67">
        <f t="shared" si="83"/>
        <v>4.7006441464416513</v>
      </c>
      <c r="V98" s="67">
        <f t="shared" si="83"/>
        <v>6.3379453303297906</v>
      </c>
      <c r="W98" s="67">
        <f t="shared" si="83"/>
        <v>2.5271041540999635</v>
      </c>
      <c r="X98" s="67">
        <f t="shared" si="83"/>
        <v>3.3745090643280879</v>
      </c>
      <c r="Y98" s="67">
        <f t="shared" si="83"/>
        <v>3.3769286737811823</v>
      </c>
      <c r="Z98" s="67">
        <f t="shared" si="83"/>
        <v>3.3345921226463826</v>
      </c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  <c r="BE98" s="65"/>
      <c r="BF98" s="65"/>
      <c r="BG98" s="65"/>
      <c r="BH98" s="65"/>
      <c r="BI98" s="65"/>
      <c r="BJ98" s="65"/>
      <c r="BK98" s="65"/>
      <c r="BL98" s="65"/>
      <c r="BM98" s="65"/>
      <c r="BN98" s="65"/>
      <c r="BO98" s="65"/>
      <c r="BP98" s="65"/>
      <c r="BQ98" s="65"/>
      <c r="BR98" s="65"/>
      <c r="BS98" s="65"/>
      <c r="BT98" s="65"/>
      <c r="BU98" s="65"/>
      <c r="BV98" s="65"/>
    </row>
    <row r="99" spans="1:74" s="26" customFormat="1" ht="13.5" x14ac:dyDescent="0.25">
      <c r="A99" s="26" t="s">
        <v>27</v>
      </c>
      <c r="B99" s="40" t="e">
        <f t="shared" ref="B99:O99" si="84">-(B78-A78)/A86*100</f>
        <v>#VALUE!</v>
      </c>
      <c r="C99" s="40">
        <f t="shared" si="84"/>
        <v>1.2546942894953081</v>
      </c>
      <c r="D99" s="40">
        <f t="shared" si="84"/>
        <v>-0.10830935694038056</v>
      </c>
      <c r="E99" s="40">
        <f t="shared" si="84"/>
        <v>4.7479579855227327E-2</v>
      </c>
      <c r="F99" s="40">
        <f t="shared" si="84"/>
        <v>0.13207791395924579</v>
      </c>
      <c r="G99" s="40">
        <f t="shared" si="84"/>
        <v>-5.5613130958382988E-2</v>
      </c>
      <c r="H99" s="40">
        <f t="shared" si="84"/>
        <v>-0.19587079510196573</v>
      </c>
      <c r="I99" s="40">
        <f t="shared" si="84"/>
        <v>-0.22431375945743975</v>
      </c>
      <c r="J99" s="40">
        <f t="shared" si="84"/>
        <v>-0.62445424135601635</v>
      </c>
      <c r="K99" s="40">
        <f t="shared" si="84"/>
        <v>-1.3748333856415049</v>
      </c>
      <c r="L99" s="40">
        <f t="shared" si="84"/>
        <v>-1.7486029600984241</v>
      </c>
      <c r="M99" s="40">
        <f t="shared" si="84"/>
        <v>-0.97911695640638674</v>
      </c>
      <c r="N99" s="40">
        <f t="shared" si="84"/>
        <v>-2.1039903548340915</v>
      </c>
      <c r="O99" s="40">
        <f t="shared" si="84"/>
        <v>-0.71834984720655182</v>
      </c>
      <c r="P99" s="40">
        <f t="shared" ref="P99:Z99" si="85">-(P78-O78)/O87*100</f>
        <v>0.27372762936828576</v>
      </c>
      <c r="Q99" s="40">
        <f t="shared" si="85"/>
        <v>1.1833200058109772</v>
      </c>
      <c r="R99" s="40">
        <f t="shared" si="85"/>
        <v>1.0301758514750736</v>
      </c>
      <c r="S99" s="40">
        <f t="shared" si="85"/>
        <v>0.49262396258416841</v>
      </c>
      <c r="T99" s="40">
        <f t="shared" si="85"/>
        <v>0.86164321966422686</v>
      </c>
      <c r="U99" s="40">
        <f t="shared" si="85"/>
        <v>0.73968174121778185</v>
      </c>
      <c r="V99" s="40">
        <f t="shared" si="85"/>
        <v>0.84463600093573366</v>
      </c>
      <c r="W99" s="40">
        <f t="shared" si="85"/>
        <v>0.37726910357416515</v>
      </c>
      <c r="X99" s="40">
        <f t="shared" si="85"/>
        <v>-0.19512467378767853</v>
      </c>
      <c r="Y99" s="40">
        <f t="shared" si="85"/>
        <v>-0.19375820259400225</v>
      </c>
      <c r="Z99" s="40">
        <f t="shared" si="85"/>
        <v>0.11813369838682836</v>
      </c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  <c r="BE99" s="65"/>
      <c r="BF99" s="65"/>
      <c r="BG99" s="65"/>
      <c r="BH99" s="65"/>
      <c r="BI99" s="65"/>
      <c r="BJ99" s="65"/>
      <c r="BK99" s="65"/>
      <c r="BL99" s="65"/>
      <c r="BM99" s="65"/>
      <c r="BN99" s="65"/>
      <c r="BO99" s="65"/>
      <c r="BP99" s="65"/>
      <c r="BQ99" s="65"/>
      <c r="BR99" s="65"/>
      <c r="BS99" s="65"/>
      <c r="BT99" s="65"/>
      <c r="BU99" s="65"/>
      <c r="BV99" s="65"/>
    </row>
    <row r="100" spans="1:74" s="26" customFormat="1" ht="13.5" x14ac:dyDescent="0.25">
      <c r="A100" s="26" t="s">
        <v>28</v>
      </c>
      <c r="B100" s="40" t="e">
        <f t="shared" ref="B100:O100" si="86">-(B79-A79)/A86*100</f>
        <v>#VALUE!</v>
      </c>
      <c r="C100" s="40">
        <f t="shared" si="86"/>
        <v>0</v>
      </c>
      <c r="D100" s="40">
        <f t="shared" si="86"/>
        <v>0</v>
      </c>
      <c r="E100" s="40">
        <f t="shared" si="86"/>
        <v>0</v>
      </c>
      <c r="F100" s="40">
        <f t="shared" si="86"/>
        <v>0</v>
      </c>
      <c r="G100" s="40">
        <f t="shared" si="86"/>
        <v>0</v>
      </c>
      <c r="H100" s="40">
        <f t="shared" si="86"/>
        <v>0</v>
      </c>
      <c r="I100" s="40">
        <f t="shared" si="86"/>
        <v>0</v>
      </c>
      <c r="J100" s="40">
        <f t="shared" si="86"/>
        <v>0</v>
      </c>
      <c r="K100" s="40">
        <f t="shared" si="86"/>
        <v>0</v>
      </c>
      <c r="L100" s="40">
        <f t="shared" si="86"/>
        <v>0</v>
      </c>
      <c r="M100" s="40">
        <f t="shared" si="86"/>
        <v>-0.23997964617803597</v>
      </c>
      <c r="N100" s="40">
        <f t="shared" si="86"/>
        <v>8.8229765423972067E-2</v>
      </c>
      <c r="O100" s="40">
        <f t="shared" si="86"/>
        <v>6.8104539419277729E-2</v>
      </c>
      <c r="P100" s="40">
        <f t="shared" ref="P100:Z100" si="87">-(P79-O79)/O87*100</f>
        <v>-0.37785997574363223</v>
      </c>
      <c r="Q100" s="40">
        <f t="shared" si="87"/>
        <v>-3.0554955819871894E-3</v>
      </c>
      <c r="R100" s="40">
        <f t="shared" si="87"/>
        <v>-3.0166203557103182E-2</v>
      </c>
      <c r="S100" s="40">
        <f t="shared" si="87"/>
        <v>-0.14973372722923051</v>
      </c>
      <c r="T100" s="40">
        <f t="shared" si="87"/>
        <v>-0.14289273957947379</v>
      </c>
      <c r="U100" s="40">
        <f t="shared" si="87"/>
        <v>-0.11994839046774841</v>
      </c>
      <c r="V100" s="40">
        <f t="shared" si="87"/>
        <v>-1.2701293247153887E-2</v>
      </c>
      <c r="W100" s="40">
        <f t="shared" si="87"/>
        <v>-3.5930390816587159E-2</v>
      </c>
      <c r="X100" s="40">
        <f t="shared" si="87"/>
        <v>-3.4433765962531504E-2</v>
      </c>
      <c r="Y100" s="40">
        <f t="shared" si="87"/>
        <v>-3.8751640518800451E-2</v>
      </c>
      <c r="Z100" s="40">
        <f t="shared" si="87"/>
        <v>-3.2218281378225917E-2</v>
      </c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  <c r="BE100" s="65"/>
      <c r="BF100" s="65"/>
      <c r="BG100" s="65"/>
      <c r="BH100" s="65"/>
      <c r="BI100" s="65"/>
      <c r="BJ100" s="65"/>
      <c r="BK100" s="65"/>
      <c r="BL100" s="65"/>
      <c r="BM100" s="65"/>
      <c r="BN100" s="65"/>
      <c r="BO100" s="65"/>
      <c r="BP100" s="65"/>
      <c r="BQ100" s="65"/>
      <c r="BR100" s="65"/>
      <c r="BS100" s="65"/>
      <c r="BT100" s="65"/>
      <c r="BU100" s="65"/>
      <c r="BV100" s="65"/>
    </row>
    <row r="101" spans="1:74" s="26" customFormat="1" ht="13.5" x14ac:dyDescent="0.25">
      <c r="A101" s="26" t="s">
        <v>99</v>
      </c>
      <c r="B101" s="40" t="e">
        <f t="shared" ref="B101:O101" si="88">-(B80-A80)/A86*100</f>
        <v>#VALUE!</v>
      </c>
      <c r="C101" s="40">
        <f t="shared" si="88"/>
        <v>-4.8467047982790188</v>
      </c>
      <c r="D101" s="40">
        <f t="shared" si="88"/>
        <v>-1.7720614232745597</v>
      </c>
      <c r="E101" s="40">
        <f t="shared" si="88"/>
        <v>1.0260864757601904</v>
      </c>
      <c r="F101" s="40">
        <f t="shared" si="88"/>
        <v>-0.33344260245448931</v>
      </c>
      <c r="G101" s="40">
        <f t="shared" si="88"/>
        <v>-1.0288429227300853</v>
      </c>
      <c r="H101" s="40">
        <f t="shared" si="88"/>
        <v>-1.820872947059015</v>
      </c>
      <c r="I101" s="40">
        <f t="shared" si="88"/>
        <v>-3.6189286525800277</v>
      </c>
      <c r="J101" s="40">
        <f t="shared" si="88"/>
        <v>-1.002413387439921</v>
      </c>
      <c r="K101" s="40">
        <f t="shared" si="88"/>
        <v>4.7080918211158744</v>
      </c>
      <c r="L101" s="40">
        <f t="shared" si="88"/>
        <v>0.93993972930215608</v>
      </c>
      <c r="M101" s="40">
        <f t="shared" si="88"/>
        <v>1.394761703586745</v>
      </c>
      <c r="N101" s="40">
        <f t="shared" si="88"/>
        <v>0.92273041051874194</v>
      </c>
      <c r="O101" s="40">
        <f t="shared" si="88"/>
        <v>-6.9969140961677112E-2</v>
      </c>
      <c r="P101" s="40">
        <f t="shared" ref="P101:Z101" si="89">-(P80-O80)/O87*100</f>
        <v>-1.0660970828027971</v>
      </c>
      <c r="Q101" s="40">
        <f t="shared" si="89"/>
        <v>-0.64209921830879813</v>
      </c>
      <c r="R101" s="40">
        <f t="shared" si="89"/>
        <v>-0.75717170928328981</v>
      </c>
      <c r="S101" s="40">
        <f t="shared" si="89"/>
        <v>-0.10331627178816905</v>
      </c>
      <c r="T101" s="40">
        <f t="shared" si="89"/>
        <v>-1.5446705148541116</v>
      </c>
      <c r="U101" s="40">
        <f t="shared" si="89"/>
        <v>-2.1364141102200076</v>
      </c>
      <c r="V101" s="40">
        <f t="shared" si="89"/>
        <v>-1.1177138057495422</v>
      </c>
      <c r="W101" s="40">
        <f t="shared" si="89"/>
        <v>-0.29941992347155966</v>
      </c>
      <c r="X101" s="40">
        <f t="shared" si="89"/>
        <v>-0.36729350360033602</v>
      </c>
      <c r="Y101" s="40">
        <f t="shared" si="89"/>
        <v>-0.70860142662949388</v>
      </c>
      <c r="Z101" s="40">
        <f t="shared" si="89"/>
        <v>-0.71954161744704548</v>
      </c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  <c r="BE101" s="65"/>
      <c r="BF101" s="65"/>
      <c r="BG101" s="65"/>
      <c r="BH101" s="65"/>
      <c r="BI101" s="65"/>
      <c r="BJ101" s="65"/>
      <c r="BK101" s="65"/>
      <c r="BL101" s="65"/>
      <c r="BM101" s="65"/>
      <c r="BN101" s="65"/>
      <c r="BO101" s="65"/>
      <c r="BP101" s="65"/>
      <c r="BQ101" s="65"/>
      <c r="BR101" s="65"/>
      <c r="BS101" s="65"/>
      <c r="BT101" s="65"/>
      <c r="BU101" s="65"/>
      <c r="BV101" s="65"/>
    </row>
    <row r="102" spans="1:74" s="26" customFormat="1" ht="13.5" x14ac:dyDescent="0.25">
      <c r="A102" s="26" t="s">
        <v>100</v>
      </c>
      <c r="B102" s="40" t="e">
        <f t="shared" ref="B102:O102" si="90">(B81-A81)/A86*100</f>
        <v>#VALUE!</v>
      </c>
      <c r="C102" s="40">
        <f t="shared" si="90"/>
        <v>0</v>
      </c>
      <c r="D102" s="40">
        <f t="shared" si="90"/>
        <v>0</v>
      </c>
      <c r="E102" s="40">
        <f t="shared" si="90"/>
        <v>13.218446919417106</v>
      </c>
      <c r="F102" s="40">
        <f t="shared" si="90"/>
        <v>0.9234627918625955</v>
      </c>
      <c r="G102" s="40">
        <f t="shared" si="90"/>
        <v>0.43298794817598185</v>
      </c>
      <c r="H102" s="40">
        <f t="shared" si="90"/>
        <v>0.58353174374127292</v>
      </c>
      <c r="I102" s="40">
        <f t="shared" si="90"/>
        <v>1.6009356091647646</v>
      </c>
      <c r="J102" s="40">
        <f t="shared" si="90"/>
        <v>1.6324697900521217</v>
      </c>
      <c r="K102" s="40">
        <f t="shared" si="90"/>
        <v>0.13029023200551282</v>
      </c>
      <c r="L102" s="40">
        <f t="shared" si="90"/>
        <v>-0.43846350500966497</v>
      </c>
      <c r="M102" s="40">
        <f t="shared" si="90"/>
        <v>-1.1919789025663046</v>
      </c>
      <c r="N102" s="40">
        <f t="shared" si="90"/>
        <v>-2.168966527556909</v>
      </c>
      <c r="O102" s="40">
        <f t="shared" si="90"/>
        <v>-1.0864652721549308</v>
      </c>
      <c r="P102" s="40">
        <f t="shared" ref="P102:Z102" si="91">(P81-O81)/O87*100</f>
        <v>-0.56546365540553767</v>
      </c>
      <c r="Q102" s="40">
        <f t="shared" si="91"/>
        <v>0.17653725391158354</v>
      </c>
      <c r="R102" s="40">
        <f t="shared" si="91"/>
        <v>0.60860315676455667</v>
      </c>
      <c r="S102" s="40">
        <f t="shared" si="91"/>
        <v>0.61315961300369892</v>
      </c>
      <c r="T102" s="40">
        <f t="shared" si="91"/>
        <v>0.73339698589164914</v>
      </c>
      <c r="U102" s="40">
        <f t="shared" si="91"/>
        <v>1.0845333638125585</v>
      </c>
      <c r="V102" s="40">
        <f t="shared" si="91"/>
        <v>1.1535949591727519</v>
      </c>
      <c r="W102" s="40">
        <f t="shared" si="91"/>
        <v>1.1419875881205286</v>
      </c>
      <c r="X102" s="40">
        <f t="shared" si="91"/>
        <v>0.87605239569673898</v>
      </c>
      <c r="Y102" s="40">
        <f t="shared" si="91"/>
        <v>0.57850663345923525</v>
      </c>
      <c r="Z102" s="40">
        <f t="shared" si="91"/>
        <v>0.50475307492553934</v>
      </c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65"/>
      <c r="BR102" s="65"/>
      <c r="BS102" s="65"/>
      <c r="BT102" s="65"/>
      <c r="BU102" s="65"/>
      <c r="BV102" s="65"/>
    </row>
    <row r="103" spans="1:74" s="26" customFormat="1" ht="13.5" x14ac:dyDescent="0.25">
      <c r="A103" s="26" t="s">
        <v>101</v>
      </c>
      <c r="B103" s="40" t="e">
        <f t="shared" ref="B103:O103" si="92">-(B82-A82)/A86*100</f>
        <v>#VALUE!</v>
      </c>
      <c r="C103" s="40">
        <f t="shared" si="92"/>
        <v>0.64127131778703661</v>
      </c>
      <c r="D103" s="40">
        <f t="shared" si="92"/>
        <v>-0.64110353932474484</v>
      </c>
      <c r="E103" s="40">
        <f t="shared" si="92"/>
        <v>-9.8716506954706615E-2</v>
      </c>
      <c r="F103" s="40">
        <f t="shared" si="92"/>
        <v>0.14606822849899961</v>
      </c>
      <c r="G103" s="40">
        <f t="shared" si="92"/>
        <v>0.28117770558031352</v>
      </c>
      <c r="H103" s="40">
        <f t="shared" si="92"/>
        <v>-6.8157957838112418E-2</v>
      </c>
      <c r="I103" s="40">
        <f t="shared" si="92"/>
        <v>-0.17048799205442533</v>
      </c>
      <c r="J103" s="40">
        <f t="shared" si="92"/>
        <v>-1.4260055015845419</v>
      </c>
      <c r="K103" s="40">
        <f t="shared" si="92"/>
        <v>-2.0582580897877132</v>
      </c>
      <c r="L103" s="40">
        <f t="shared" si="92"/>
        <v>-0.2397048511930554</v>
      </c>
      <c r="M103" s="40">
        <f t="shared" si="92"/>
        <v>-0.89635949810052074</v>
      </c>
      <c r="N103" s="40">
        <f t="shared" si="92"/>
        <v>-3.1364020958950453E-2</v>
      </c>
      <c r="O103" s="40">
        <f t="shared" si="92"/>
        <v>0.61843543244461585</v>
      </c>
      <c r="P103" s="40">
        <f t="shared" ref="P103:Y103" si="93">-(P82-O82)/O87*100</f>
        <v>0.84335558460548898</v>
      </c>
      <c r="Q103" s="40">
        <f t="shared" si="93"/>
        <v>0.86404930404652081</v>
      </c>
      <c r="R103" s="40">
        <f t="shared" si="93"/>
        <v>0.85575519782086318</v>
      </c>
      <c r="S103" s="40">
        <f t="shared" si="93"/>
        <v>1.0269358607041517</v>
      </c>
      <c r="T103" s="40">
        <f t="shared" si="93"/>
        <v>0.66081874132163987</v>
      </c>
      <c r="U103" s="40">
        <f t="shared" si="93"/>
        <v>0.37866415703967282</v>
      </c>
      <c r="V103" s="40">
        <f t="shared" si="93"/>
        <v>-0.33101129755986813</v>
      </c>
      <c r="W103" s="40">
        <f t="shared" si="93"/>
        <v>-0.14311496472569701</v>
      </c>
      <c r="X103" s="40">
        <f t="shared" si="93"/>
        <v>1.3455069033695241E-2</v>
      </c>
      <c r="Y103" s="40">
        <f t="shared" si="93"/>
        <v>8.1466465174954136E-2</v>
      </c>
      <c r="Z103" s="40">
        <f>-(Z82-Y82)/Y87*100</f>
        <v>0.16168450355553599</v>
      </c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  <c r="BE103" s="65"/>
      <c r="BF103" s="65"/>
      <c r="BG103" s="65"/>
      <c r="BH103" s="65"/>
      <c r="BI103" s="65"/>
      <c r="BJ103" s="65"/>
      <c r="BK103" s="65"/>
      <c r="BL103" s="65"/>
      <c r="BM103" s="65"/>
      <c r="BN103" s="65"/>
      <c r="BO103" s="65"/>
      <c r="BP103" s="65"/>
      <c r="BQ103" s="65"/>
      <c r="BR103" s="65"/>
      <c r="BS103" s="65"/>
      <c r="BT103" s="65"/>
      <c r="BU103" s="65"/>
      <c r="BV103" s="65"/>
    </row>
    <row r="104" spans="1:74" s="26" customFormat="1" ht="13.5" x14ac:dyDescent="0.25">
      <c r="A104" s="26" t="s">
        <v>74</v>
      </c>
      <c r="B104" s="40" t="e">
        <f t="shared" ref="B104:O104" si="94">-(B85)/A86*100</f>
        <v>#VALUE!</v>
      </c>
      <c r="C104" s="40">
        <f t="shared" si="94"/>
        <v>0</v>
      </c>
      <c r="D104" s="40">
        <f t="shared" si="94"/>
        <v>0</v>
      </c>
      <c r="E104" s="40">
        <f t="shared" si="94"/>
        <v>0</v>
      </c>
      <c r="F104" s="40">
        <f t="shared" si="94"/>
        <v>0</v>
      </c>
      <c r="G104" s="40">
        <f t="shared" si="94"/>
        <v>0</v>
      </c>
      <c r="H104" s="40">
        <f t="shared" si="94"/>
        <v>0</v>
      </c>
      <c r="I104" s="40">
        <f t="shared" si="94"/>
        <v>0</v>
      </c>
      <c r="J104" s="40">
        <f t="shared" si="94"/>
        <v>0</v>
      </c>
      <c r="K104" s="40">
        <f t="shared" si="94"/>
        <v>0</v>
      </c>
      <c r="L104" s="40">
        <f t="shared" si="94"/>
        <v>0</v>
      </c>
      <c r="M104" s="40">
        <f t="shared" si="94"/>
        <v>0</v>
      </c>
      <c r="N104" s="40">
        <f t="shared" si="94"/>
        <v>0</v>
      </c>
      <c r="O104" s="40">
        <f t="shared" si="94"/>
        <v>0</v>
      </c>
      <c r="P104" s="40">
        <f t="shared" ref="P104:Z104" si="95">-(P85)/O87*100</f>
        <v>-1.4518769581113169</v>
      </c>
      <c r="Q104" s="40">
        <f t="shared" si="95"/>
        <v>1.4331142154273675</v>
      </c>
      <c r="R104" s="40">
        <f t="shared" si="95"/>
        <v>1.0965414993007006</v>
      </c>
      <c r="S104" s="40">
        <f t="shared" si="95"/>
        <v>0.10286707060648136</v>
      </c>
      <c r="T104" s="40">
        <f t="shared" si="95"/>
        <v>-1.2167316775192192</v>
      </c>
      <c r="U104" s="40">
        <f t="shared" si="95"/>
        <v>-1.2761175985874345</v>
      </c>
      <c r="V104" s="40">
        <f t="shared" si="95"/>
        <v>-1.5559084227763511</v>
      </c>
      <c r="W104" s="40">
        <f t="shared" si="95"/>
        <v>4.1918789286018353E-2</v>
      </c>
      <c r="X104" s="40">
        <f t="shared" si="95"/>
        <v>0.14921298583763654</v>
      </c>
      <c r="Y104" s="40">
        <f t="shared" si="95"/>
        <v>2.2143794582171684E-2</v>
      </c>
      <c r="Z104" s="40">
        <f t="shared" si="95"/>
        <v>2.6848567815188264E-2</v>
      </c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  <c r="BE104" s="65"/>
      <c r="BF104" s="65"/>
      <c r="BG104" s="65"/>
      <c r="BH104" s="65"/>
      <c r="BI104" s="65"/>
      <c r="BJ104" s="65"/>
      <c r="BK104" s="65"/>
      <c r="BL104" s="65"/>
      <c r="BM104" s="65"/>
      <c r="BN104" s="65"/>
      <c r="BO104" s="65"/>
      <c r="BP104" s="65"/>
      <c r="BQ104" s="65"/>
      <c r="BR104" s="65"/>
      <c r="BS104" s="65"/>
      <c r="BT104" s="65"/>
      <c r="BU104" s="65"/>
      <c r="BV104" s="65"/>
    </row>
    <row r="105" spans="1:74" s="26" customFormat="1" ht="13.5" x14ac:dyDescent="0.25">
      <c r="A105" s="24" t="s">
        <v>102</v>
      </c>
      <c r="B105" s="67" t="e">
        <f t="shared" ref="B105:X105" si="96">SUM(B98:B104)</f>
        <v>#VALUE!</v>
      </c>
      <c r="C105" s="67">
        <f t="shared" si="96"/>
        <v>19.153389349083525</v>
      </c>
      <c r="D105" s="67">
        <f t="shared" si="96"/>
        <v>14.058883072083571</v>
      </c>
      <c r="E105" s="67">
        <f t="shared" si="96"/>
        <v>21.82432005258741</v>
      </c>
      <c r="F105" s="67">
        <f t="shared" si="96"/>
        <v>9.0136927632545891</v>
      </c>
      <c r="G105" s="67">
        <f t="shared" si="96"/>
        <v>9.5149436279204043</v>
      </c>
      <c r="H105" s="67">
        <f t="shared" si="96"/>
        <v>9.1500113366481504</v>
      </c>
      <c r="I105" s="67">
        <f t="shared" si="96"/>
        <v>11.223820196681821</v>
      </c>
      <c r="J105" s="67">
        <f t="shared" si="96"/>
        <v>10.07373764769363</v>
      </c>
      <c r="K105" s="67">
        <f t="shared" si="96"/>
        <v>3.3840734762758955</v>
      </c>
      <c r="L105" s="67">
        <f t="shared" si="96"/>
        <v>36.757950722721276</v>
      </c>
      <c r="M105" s="67">
        <f t="shared" si="96"/>
        <v>-30.195714479623106</v>
      </c>
      <c r="N105" s="67">
        <f t="shared" si="96"/>
        <v>-11.558054866330695</v>
      </c>
      <c r="O105" s="67">
        <f t="shared" si="96"/>
        <v>-2.8659488017403687</v>
      </c>
      <c r="P105" s="67">
        <f t="shared" si="96"/>
        <v>-1.4830129107202827</v>
      </c>
      <c r="Q105" s="67">
        <f t="shared" si="96"/>
        <v>7.5946290648063641</v>
      </c>
      <c r="R105" s="67">
        <f t="shared" si="96"/>
        <v>1.8293694176263684</v>
      </c>
      <c r="S105" s="67">
        <f t="shared" si="96"/>
        <v>5.1568915251407876</v>
      </c>
      <c r="T105" s="67">
        <f t="shared" si="96"/>
        <v>6.048946719014646</v>
      </c>
      <c r="U105" s="67">
        <f t="shared" si="96"/>
        <v>3.3710433092364736</v>
      </c>
      <c r="V105" s="67">
        <f t="shared" si="96"/>
        <v>5.3188414711053609</v>
      </c>
      <c r="W105" s="67">
        <f t="shared" si="96"/>
        <v>3.6098143560668321</v>
      </c>
      <c r="X105" s="67">
        <f t="shared" si="96"/>
        <v>3.8163775715456127</v>
      </c>
      <c r="Y105" s="67">
        <f>SUM(Y98:Y104)</f>
        <v>3.1179342972552466</v>
      </c>
      <c r="Z105" s="67">
        <f>SUM(Z98:Z104)</f>
        <v>3.3942520685042035</v>
      </c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  <c r="BE105" s="65"/>
      <c r="BF105" s="65"/>
      <c r="BG105" s="65"/>
      <c r="BH105" s="65"/>
      <c r="BI105" s="65"/>
      <c r="BJ105" s="65"/>
      <c r="BK105" s="65"/>
      <c r="BL105" s="65"/>
      <c r="BM105" s="65"/>
      <c r="BN105" s="65"/>
      <c r="BO105" s="65"/>
      <c r="BP105" s="65"/>
      <c r="BQ105" s="65"/>
      <c r="BR105" s="65"/>
      <c r="BS105" s="65"/>
      <c r="BT105" s="65"/>
      <c r="BU105" s="65"/>
      <c r="BV105" s="65"/>
    </row>
    <row r="106" spans="1:74" s="26" customFormat="1" ht="13.5" x14ac:dyDescent="0.25">
      <c r="A106" s="26" t="s">
        <v>105</v>
      </c>
      <c r="B106" s="40">
        <v>0</v>
      </c>
      <c r="C106" s="40">
        <v>0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f>-(S83)/R87*100</f>
        <v>-0.2665260344680303</v>
      </c>
      <c r="T106" s="40">
        <f t="shared" ref="T106:Z106" si="97">-(T83-S83)/S87*100</f>
        <v>-5.0012458852815821E-2</v>
      </c>
      <c r="U106" s="40">
        <f t="shared" si="97"/>
        <v>0.28387785744033789</v>
      </c>
      <c r="V106" s="40">
        <f t="shared" si="97"/>
        <v>-0.82558406106500271</v>
      </c>
      <c r="W106" s="40">
        <f t="shared" si="97"/>
        <v>0.77849180102605509</v>
      </c>
      <c r="X106" s="40">
        <f t="shared" si="97"/>
        <v>0</v>
      </c>
      <c r="Y106" s="40">
        <f t="shared" si="97"/>
        <v>0</v>
      </c>
      <c r="Z106" s="40">
        <f t="shared" si="97"/>
        <v>0</v>
      </c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  <c r="BC106" s="65"/>
      <c r="BD106" s="65"/>
      <c r="BE106" s="65"/>
      <c r="BF106" s="65"/>
      <c r="BG106" s="65"/>
      <c r="BH106" s="65"/>
      <c r="BI106" s="65"/>
      <c r="BJ106" s="65"/>
      <c r="BK106" s="65"/>
      <c r="BL106" s="65"/>
      <c r="BM106" s="65"/>
      <c r="BN106" s="65"/>
      <c r="BO106" s="65"/>
      <c r="BP106" s="65"/>
      <c r="BQ106" s="65"/>
      <c r="BR106" s="65"/>
      <c r="BS106" s="65"/>
      <c r="BT106" s="65"/>
      <c r="BU106" s="65"/>
      <c r="BV106" s="65"/>
    </row>
    <row r="107" spans="1:74" s="26" customFormat="1" ht="13.5" x14ac:dyDescent="0.25">
      <c r="A107" s="24" t="s">
        <v>106</v>
      </c>
      <c r="B107" s="67" t="e">
        <f t="shared" ref="B107:X107" si="98">SUM(B105:B106)</f>
        <v>#VALUE!</v>
      </c>
      <c r="C107" s="67">
        <f t="shared" si="98"/>
        <v>19.153389349083525</v>
      </c>
      <c r="D107" s="67">
        <f t="shared" si="98"/>
        <v>14.058883072083571</v>
      </c>
      <c r="E107" s="67">
        <f t="shared" si="98"/>
        <v>21.82432005258741</v>
      </c>
      <c r="F107" s="67">
        <f t="shared" si="98"/>
        <v>9.0136927632545891</v>
      </c>
      <c r="G107" s="67">
        <f t="shared" si="98"/>
        <v>9.5149436279204043</v>
      </c>
      <c r="H107" s="67">
        <f t="shared" si="98"/>
        <v>9.1500113366481504</v>
      </c>
      <c r="I107" s="67">
        <f t="shared" si="98"/>
        <v>11.223820196681821</v>
      </c>
      <c r="J107" s="67">
        <f t="shared" si="98"/>
        <v>10.07373764769363</v>
      </c>
      <c r="K107" s="67">
        <f t="shared" si="98"/>
        <v>3.3840734762758955</v>
      </c>
      <c r="L107" s="67">
        <f t="shared" si="98"/>
        <v>36.757950722721276</v>
      </c>
      <c r="M107" s="67">
        <f t="shared" si="98"/>
        <v>-30.195714479623106</v>
      </c>
      <c r="N107" s="67">
        <f t="shared" si="98"/>
        <v>-11.558054866330695</v>
      </c>
      <c r="O107" s="67">
        <f t="shared" si="98"/>
        <v>-2.8659488017403687</v>
      </c>
      <c r="P107" s="67">
        <f t="shared" si="98"/>
        <v>-1.4830129107202827</v>
      </c>
      <c r="Q107" s="67">
        <f t="shared" si="98"/>
        <v>7.5946290648063641</v>
      </c>
      <c r="R107" s="67">
        <f t="shared" si="98"/>
        <v>1.8293694176263684</v>
      </c>
      <c r="S107" s="67">
        <f t="shared" si="98"/>
        <v>4.8903654906727576</v>
      </c>
      <c r="T107" s="67">
        <f t="shared" si="98"/>
        <v>5.9989342601618301</v>
      </c>
      <c r="U107" s="67">
        <f t="shared" si="98"/>
        <v>3.6549211666768113</v>
      </c>
      <c r="V107" s="67">
        <f t="shared" si="98"/>
        <v>4.4932574100403579</v>
      </c>
      <c r="W107" s="67">
        <f t="shared" si="98"/>
        <v>4.3883061570928872</v>
      </c>
      <c r="X107" s="67">
        <f t="shared" si="98"/>
        <v>3.8163775715456127</v>
      </c>
      <c r="Y107" s="67">
        <f>SUM(Y105:Y106)</f>
        <v>3.1179342972552466</v>
      </c>
      <c r="Z107" s="67">
        <f>SUM(Z105:Z106)</f>
        <v>3.3942520685042035</v>
      </c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  <c r="BE107" s="65"/>
      <c r="BF107" s="65"/>
      <c r="BG107" s="65"/>
      <c r="BH107" s="65"/>
      <c r="BI107" s="65"/>
      <c r="BJ107" s="65"/>
      <c r="BK107" s="65"/>
      <c r="BL107" s="65"/>
      <c r="BM107" s="65"/>
      <c r="BN107" s="65"/>
      <c r="BO107" s="65"/>
      <c r="BP107" s="65"/>
      <c r="BQ107" s="65"/>
      <c r="BR107" s="65"/>
      <c r="BS107" s="65"/>
      <c r="BT107" s="65"/>
      <c r="BU107" s="65"/>
      <c r="BV107" s="65"/>
    </row>
    <row r="108" spans="1:74" s="26" customFormat="1" ht="13.5" x14ac:dyDescent="0.25">
      <c r="A108" s="58" t="s">
        <v>103</v>
      </c>
      <c r="B108" s="67" t="e">
        <f t="shared" ref="B108:R108" si="99">B127</f>
        <v>#VALUE!</v>
      </c>
      <c r="C108" s="67" t="e">
        <f t="shared" si="99"/>
        <v>#REF!</v>
      </c>
      <c r="D108" s="67" t="e">
        <f t="shared" si="99"/>
        <v>#REF!</v>
      </c>
      <c r="E108" s="67" t="e">
        <f t="shared" si="99"/>
        <v>#REF!</v>
      </c>
      <c r="F108" s="67" t="e">
        <f t="shared" si="99"/>
        <v>#VALUE!</v>
      </c>
      <c r="G108" s="67" t="e">
        <f t="shared" si="99"/>
        <v>#VALUE!</v>
      </c>
      <c r="H108" s="67">
        <f t="shared" si="99"/>
        <v>5.3358257527157393</v>
      </c>
      <c r="I108" s="67">
        <f t="shared" si="99"/>
        <v>2.8310163571200642</v>
      </c>
      <c r="J108" s="67">
        <f t="shared" si="99"/>
        <v>1.8451575435356027</v>
      </c>
      <c r="K108" s="67">
        <f t="shared" si="99"/>
        <v>-1.6946439239056699</v>
      </c>
      <c r="L108" s="67">
        <f t="shared" si="99"/>
        <v>-0.53511872428847473</v>
      </c>
      <c r="M108" s="67">
        <f t="shared" si="99"/>
        <v>4.1264830477097281</v>
      </c>
      <c r="N108" s="67">
        <f t="shared" si="99"/>
        <v>4.8338906697633632</v>
      </c>
      <c r="O108" s="67">
        <f t="shared" si="99"/>
        <v>3.6731440091136269</v>
      </c>
      <c r="P108" s="67">
        <f t="shared" si="99"/>
        <v>2.8103169866258604</v>
      </c>
      <c r="Q108" s="67">
        <f t="shared" si="99"/>
        <v>2.1351525901959434</v>
      </c>
      <c r="R108" s="67">
        <f t="shared" si="99"/>
        <v>3.1407965781832026</v>
      </c>
      <c r="S108" s="67">
        <f>S127</f>
        <v>4.5091136038799329</v>
      </c>
      <c r="T108" s="67">
        <f t="shared" ref="T108:Y108" si="100">T127</f>
        <v>4.1518738093013763</v>
      </c>
      <c r="U108" s="67">
        <f t="shared" si="100"/>
        <v>3.8623130863137067</v>
      </c>
      <c r="V108" s="67">
        <f t="shared" si="100"/>
        <v>5.1382420781004301</v>
      </c>
      <c r="W108" s="67">
        <f t="shared" si="100"/>
        <v>4.7698969285773885</v>
      </c>
      <c r="X108" s="67">
        <f t="shared" si="100"/>
        <v>4.5258473173228619</v>
      </c>
      <c r="Y108" s="67">
        <f t="shared" si="100"/>
        <v>3.7702123697644474</v>
      </c>
      <c r="Z108" s="67">
        <f t="shared" ref="Z108" si="101">Z127</f>
        <v>3.0410130187479067</v>
      </c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  <c r="BE108" s="65"/>
      <c r="BF108" s="65"/>
      <c r="BG108" s="65"/>
      <c r="BH108" s="65"/>
      <c r="BI108" s="65"/>
      <c r="BJ108" s="65"/>
      <c r="BK108" s="65"/>
      <c r="BL108" s="65"/>
      <c r="BM108" s="65"/>
      <c r="BN108" s="65"/>
      <c r="BO108" s="65"/>
      <c r="BP108" s="65"/>
      <c r="BQ108" s="65"/>
      <c r="BR108" s="65"/>
      <c r="BS108" s="65"/>
      <c r="BT108" s="65"/>
      <c r="BU108" s="65"/>
      <c r="BV108" s="65"/>
    </row>
    <row r="109" spans="1:74" s="26" customFormat="1" ht="13.5" x14ac:dyDescent="0.25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  <c r="BE109" s="65"/>
      <c r="BF109" s="65"/>
      <c r="BG109" s="65"/>
      <c r="BH109" s="65"/>
      <c r="BI109" s="65"/>
      <c r="BJ109" s="65"/>
      <c r="BK109" s="65"/>
      <c r="BL109" s="65"/>
      <c r="BM109" s="65"/>
      <c r="BN109" s="65"/>
      <c r="BO109" s="65"/>
      <c r="BP109" s="65"/>
      <c r="BQ109" s="65"/>
      <c r="BR109" s="65"/>
      <c r="BS109" s="65"/>
      <c r="BT109" s="65"/>
      <c r="BU109" s="65"/>
      <c r="BV109" s="65"/>
    </row>
    <row r="110" spans="1:74" s="26" customFormat="1" ht="13.5" x14ac:dyDescent="0.25">
      <c r="A110" s="66" t="s">
        <v>107</v>
      </c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  <c r="BE110" s="65"/>
      <c r="BF110" s="65"/>
      <c r="BG110" s="65"/>
      <c r="BH110" s="65"/>
      <c r="BI110" s="65"/>
      <c r="BJ110" s="65"/>
      <c r="BK110" s="65"/>
      <c r="BL110" s="65"/>
      <c r="BM110" s="65"/>
      <c r="BN110" s="65"/>
      <c r="BO110" s="65"/>
      <c r="BP110" s="65"/>
      <c r="BQ110" s="65"/>
      <c r="BR110" s="65"/>
      <c r="BS110" s="65"/>
      <c r="BT110" s="65"/>
      <c r="BU110" s="65"/>
      <c r="BV110" s="65"/>
    </row>
    <row r="111" spans="1:74" s="26" customFormat="1" ht="13.5" x14ac:dyDescent="0.25">
      <c r="A111" s="68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5"/>
      <c r="BQ111" s="65"/>
      <c r="BR111" s="65"/>
      <c r="BS111" s="65"/>
      <c r="BT111" s="65"/>
      <c r="BU111" s="65"/>
      <c r="BV111" s="65"/>
    </row>
    <row r="112" spans="1:74" s="26" customFormat="1" ht="13.5" x14ac:dyDescent="0.25">
      <c r="A112" s="68" t="s">
        <v>108</v>
      </c>
      <c r="B112" s="38">
        <f t="shared" ref="B112:Y112" si="102">B42</f>
        <v>6.6429425952625651</v>
      </c>
      <c r="C112" s="38">
        <f t="shared" si="102"/>
        <v>5.4012865394022693</v>
      </c>
      <c r="D112" s="38">
        <f t="shared" si="102"/>
        <v>4.9260398753027204</v>
      </c>
      <c r="E112" s="38">
        <f t="shared" si="102"/>
        <v>4.9430113642996503</v>
      </c>
      <c r="F112" s="38">
        <f t="shared" si="102"/>
        <v>4.9184611745399547</v>
      </c>
      <c r="G112" s="38">
        <f t="shared" si="102"/>
        <v>4.2256725358457405</v>
      </c>
      <c r="H112" s="38">
        <f t="shared" si="102"/>
        <v>3.5195228412402297</v>
      </c>
      <c r="I112" s="38">
        <f t="shared" si="102"/>
        <v>2.4667194727648849</v>
      </c>
      <c r="J112" s="38">
        <f t="shared" si="102"/>
        <v>1.5934641438081951</v>
      </c>
      <c r="K112" s="38">
        <f t="shared" si="102"/>
        <v>2.4666558503399498</v>
      </c>
      <c r="L112" s="38">
        <f t="shared" si="102"/>
        <v>3.0966400625984201</v>
      </c>
      <c r="M112" s="38">
        <f t="shared" si="102"/>
        <v>1.9324271856425099</v>
      </c>
      <c r="N112" s="38">
        <f t="shared" si="102"/>
        <v>0.96359263238917303</v>
      </c>
      <c r="O112" s="38">
        <f t="shared" si="102"/>
        <v>1.8389194754689702</v>
      </c>
      <c r="P112" s="38">
        <f t="shared" si="102"/>
        <v>3.8552933488468248</v>
      </c>
      <c r="Q112" s="38">
        <f t="shared" si="102"/>
        <v>18.966246287352853</v>
      </c>
      <c r="R112" s="38">
        <f t="shared" si="102"/>
        <v>2.7026511880236401</v>
      </c>
      <c r="S112" s="38">
        <f t="shared" si="102"/>
        <v>7.6650871630950395</v>
      </c>
      <c r="T112" s="38">
        <f t="shared" si="102"/>
        <v>5.3143677984138549</v>
      </c>
      <c r="U112" s="38">
        <f t="shared" si="102"/>
        <v>4.0185687754818549</v>
      </c>
      <c r="V112" s="38">
        <f t="shared" si="102"/>
        <v>2.0204199242895298</v>
      </c>
      <c r="W112" s="38">
        <f t="shared" si="102"/>
        <v>1.5757335508940147</v>
      </c>
      <c r="X112" s="38">
        <f t="shared" si="102"/>
        <v>2.051777511988615</v>
      </c>
      <c r="Y112" s="38">
        <f t="shared" si="102"/>
        <v>2.0265119170178001</v>
      </c>
      <c r="Z112" s="38">
        <f t="shared" ref="Z112" si="103">Z42</f>
        <v>2.3544896191347053</v>
      </c>
      <c r="AA112" s="69">
        <f t="shared" ref="AA112:AG113" si="104">Z112</f>
        <v>2.3544896191347053</v>
      </c>
      <c r="AB112" s="69">
        <f t="shared" ref="AB112" si="105">AA112</f>
        <v>2.3544896191347053</v>
      </c>
      <c r="AC112" s="69">
        <f t="shared" ref="AC112" si="106">AB112</f>
        <v>2.3544896191347053</v>
      </c>
      <c r="AD112" s="69">
        <f t="shared" ref="AD112" si="107">AC112</f>
        <v>2.3544896191347053</v>
      </c>
      <c r="AE112" s="69">
        <f t="shared" ref="AE112" si="108">AD112</f>
        <v>2.3544896191347053</v>
      </c>
      <c r="AF112" s="69">
        <f t="shared" ref="AF112" si="109">AE112</f>
        <v>2.3544896191347053</v>
      </c>
      <c r="AG112" s="69">
        <f t="shared" ref="AG112" si="110">AF112</f>
        <v>2.3544896191347053</v>
      </c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</row>
    <row r="113" spans="1:74" s="26" customFormat="1" ht="13.5" x14ac:dyDescent="0.25">
      <c r="A113" s="68" t="s">
        <v>109</v>
      </c>
      <c r="B113" s="38">
        <f t="shared" ref="B113:O113" si="111">B42</f>
        <v>6.6429425952625651</v>
      </c>
      <c r="C113" s="38">
        <f t="shared" si="111"/>
        <v>5.4012865394022693</v>
      </c>
      <c r="D113" s="38">
        <f t="shared" si="111"/>
        <v>4.9260398753027204</v>
      </c>
      <c r="E113" s="38">
        <f t="shared" si="111"/>
        <v>4.9430113642996503</v>
      </c>
      <c r="F113" s="38">
        <f t="shared" si="111"/>
        <v>4.9184611745399547</v>
      </c>
      <c r="G113" s="38">
        <f t="shared" si="111"/>
        <v>4.2256725358457405</v>
      </c>
      <c r="H113" s="38">
        <f t="shared" si="111"/>
        <v>3.5195228412402297</v>
      </c>
      <c r="I113" s="38">
        <f t="shared" si="111"/>
        <v>2.4667194727648849</v>
      </c>
      <c r="J113" s="38">
        <f t="shared" si="111"/>
        <v>1.5934641438081951</v>
      </c>
      <c r="K113" s="38">
        <f t="shared" si="111"/>
        <v>2.4666558503399498</v>
      </c>
      <c r="L113" s="38">
        <f t="shared" si="111"/>
        <v>3.0966400625984201</v>
      </c>
      <c r="M113" s="38">
        <f t="shared" si="111"/>
        <v>1.9324271856425099</v>
      </c>
      <c r="N113" s="38">
        <f t="shared" si="111"/>
        <v>0.96359263238917303</v>
      </c>
      <c r="O113" s="38">
        <f t="shared" si="111"/>
        <v>1.8389194754689702</v>
      </c>
      <c r="P113" s="38">
        <f>P42</f>
        <v>3.8552933488468248</v>
      </c>
      <c r="Q113" s="70">
        <f>AVERAGE(P113,R113)</f>
        <v>3.2789722684352327</v>
      </c>
      <c r="R113" s="38">
        <f t="shared" ref="R113:Y113" si="112">R42</f>
        <v>2.7026511880236401</v>
      </c>
      <c r="S113" s="38">
        <f t="shared" si="112"/>
        <v>7.6650871630950395</v>
      </c>
      <c r="T113" s="38">
        <f t="shared" si="112"/>
        <v>5.3143677984138549</v>
      </c>
      <c r="U113" s="38">
        <f t="shared" si="112"/>
        <v>4.0185687754818549</v>
      </c>
      <c r="V113" s="38">
        <f t="shared" si="112"/>
        <v>2.0204199242895298</v>
      </c>
      <c r="W113" s="38">
        <f t="shared" si="112"/>
        <v>1.5757335508940147</v>
      </c>
      <c r="X113" s="38">
        <f t="shared" si="112"/>
        <v>2.051777511988615</v>
      </c>
      <c r="Y113" s="38">
        <f t="shared" si="112"/>
        <v>2.0265119170178001</v>
      </c>
      <c r="Z113" s="38">
        <f t="shared" ref="Z113" si="113">Z42</f>
        <v>2.3544896191347053</v>
      </c>
      <c r="AA113" s="69">
        <f t="shared" si="104"/>
        <v>2.3544896191347053</v>
      </c>
      <c r="AB113" s="69">
        <f t="shared" si="104"/>
        <v>2.3544896191347053</v>
      </c>
      <c r="AC113" s="69">
        <f t="shared" si="104"/>
        <v>2.3544896191347053</v>
      </c>
      <c r="AD113" s="69">
        <f t="shared" si="104"/>
        <v>2.3544896191347053</v>
      </c>
      <c r="AE113" s="69">
        <f t="shared" si="104"/>
        <v>2.3544896191347053</v>
      </c>
      <c r="AF113" s="69">
        <f t="shared" si="104"/>
        <v>2.3544896191347053</v>
      </c>
      <c r="AG113" s="69">
        <f t="shared" si="104"/>
        <v>2.3544896191347053</v>
      </c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  <c r="BE113" s="65"/>
      <c r="BF113" s="65"/>
      <c r="BG113" s="65"/>
      <c r="BH113" s="65"/>
      <c r="BI113" s="65"/>
      <c r="BJ113" s="65"/>
      <c r="BK113" s="65"/>
      <c r="BL113" s="65"/>
      <c r="BM113" s="65"/>
      <c r="BN113" s="65"/>
      <c r="BO113" s="65"/>
      <c r="BP113" s="65"/>
      <c r="BQ113" s="65"/>
      <c r="BR113" s="65"/>
      <c r="BS113" s="65"/>
      <c r="BT113" s="65"/>
      <c r="BU113" s="65"/>
      <c r="BV113" s="65"/>
    </row>
    <row r="114" spans="1:74" s="26" customFormat="1" ht="13.5" x14ac:dyDescent="0.25">
      <c r="A114" s="68" t="s">
        <v>110</v>
      </c>
      <c r="C114" s="38" t="e">
        <f>100*(((1+#REF!/100)*(1+#REF!/100)*(1+#REF!/100)*(1+A113/100)*(1+B113/100)*(1+C113/100)*(1+D113/100)*(1+E113/100)*(1+F113/100)*(1+#REF!/100))^0.1-1)</f>
        <v>#REF!</v>
      </c>
      <c r="D114" s="38" t="e">
        <f>100*(((1+#REF!/100)*(1+#REF!/100)*(1+A113/100)*(1+B113/100)*(1+C113/100)*(1+D113/100)*(1+E113/100)*(1+F113/100)*(1+G113/100)*(1+#REF!/100))^0.1-1)</f>
        <v>#REF!</v>
      </c>
      <c r="E114" s="38" t="e">
        <f>100*(((1+#REF!/100)*(1+A113/100)*(1+B113/100)*(1+C113/100)*(1+D113/100)*(1+E113/100)*(1+F113/100)*(1+G113/100)*(1+H113/100)*(1+#REF!/100))^0.1-1)</f>
        <v>#REF!</v>
      </c>
      <c r="F114" s="38" t="e">
        <f>100*(((1+A113/100)*(1+B113/100)*(1+C113/100)*(1+D113/100)*(1+E113/100)*(1+F113/100)*(1+G113/100)*(1+H113/100)*(1+I113/100)*(1+#REF!/100))^0.1-1)</f>
        <v>#VALUE!</v>
      </c>
      <c r="G114" s="38" t="e">
        <f t="shared" ref="G114:U114" si="114">100*(((1+B113/100)*(1+C113/100)*(1+D113/100)*(1+E113/100)*(1+F113/100)*(1+G113/100)*(1+H113/100)*(1+I113/100)*(1+J113/100)*(1+A113/100))^0.1-1)</f>
        <v>#VALUE!</v>
      </c>
      <c r="H114" s="38">
        <f t="shared" si="114"/>
        <v>4.0997024158639039</v>
      </c>
      <c r="I114" s="38">
        <f t="shared" si="114"/>
        <v>3.7482374150358044</v>
      </c>
      <c r="J114" s="38">
        <f t="shared" si="114"/>
        <v>3.4016270542114979</v>
      </c>
      <c r="K114" s="38">
        <f t="shared" si="114"/>
        <v>3.0043400540638476</v>
      </c>
      <c r="L114" s="38">
        <f t="shared" si="114"/>
        <v>2.6955322242002477</v>
      </c>
      <c r="M114" s="38">
        <f t="shared" si="114"/>
        <v>2.5909903989030703</v>
      </c>
      <c r="N114" s="38">
        <f t="shared" si="114"/>
        <v>2.4974220892491905</v>
      </c>
      <c r="O114" s="38">
        <f t="shared" si="114"/>
        <v>2.4162528164022978</v>
      </c>
      <c r="P114" s="38">
        <f t="shared" si="114"/>
        <v>2.9243394191863281</v>
      </c>
      <c r="Q114" s="38">
        <f t="shared" si="114"/>
        <v>3.295231644497032</v>
      </c>
      <c r="R114" s="38">
        <f t="shared" si="114"/>
        <v>3.4506217184602006</v>
      </c>
      <c r="S114" s="38">
        <f t="shared" si="114"/>
        <v>3.3421195127115277</v>
      </c>
      <c r="T114" s="38">
        <f t="shared" si="114"/>
        <v>3.3058997819771729</v>
      </c>
      <c r="U114" s="38">
        <f t="shared" si="114"/>
        <v>3.416706440137407</v>
      </c>
      <c r="V114" s="38">
        <f>100*(((1+Q113/100)*(1+R113/100)*(1+S113/100)*(1+T113/100)*(1+U113/100)*(1+V113/100)*(1+W113/100)*(1+X113/100)*(1+Y113/100)*(1+P113/100))^0.1-1)</f>
        <v>3.4357405481509451</v>
      </c>
      <c r="W114" s="38">
        <f t="shared" ref="W114:AB114" si="115">100*(((1+R113/100)*(1+S113/100)*(1+T113/100)*(1+U113/100)*(1+V113/100)*(1+W113/100)*(1+X113/100)*(1+Y113/100)*(1+Z113/100)*(1+Q113/100))^0.1-1)</f>
        <v>3.285285460278331</v>
      </c>
      <c r="X114" s="38">
        <f t="shared" si="115"/>
        <v>3.1924570062718427</v>
      </c>
      <c r="Y114" s="38">
        <f t="shared" si="115"/>
        <v>3.1574213252695049</v>
      </c>
      <c r="Z114" s="38">
        <f t="shared" si="115"/>
        <v>2.6369357062653975</v>
      </c>
      <c r="AA114" s="38">
        <f t="shared" si="115"/>
        <v>2.3447582807227363</v>
      </c>
      <c r="AB114" s="38">
        <f t="shared" si="115"/>
        <v>2.1798373254371839</v>
      </c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  <c r="BE114" s="65"/>
      <c r="BF114" s="65"/>
      <c r="BG114" s="65"/>
      <c r="BH114" s="65"/>
      <c r="BI114" s="65"/>
      <c r="BJ114" s="65"/>
      <c r="BK114" s="65"/>
      <c r="BL114" s="65"/>
      <c r="BM114" s="65"/>
      <c r="BN114" s="65"/>
      <c r="BO114" s="65"/>
      <c r="BP114" s="65"/>
      <c r="BQ114" s="65"/>
      <c r="BR114" s="65"/>
      <c r="BS114" s="65"/>
      <c r="BT114" s="65"/>
      <c r="BU114" s="65"/>
      <c r="BV114" s="65"/>
    </row>
    <row r="115" spans="1:74" s="26" customFormat="1" ht="13.5" x14ac:dyDescent="0.25">
      <c r="A115" s="24" t="s">
        <v>111</v>
      </c>
      <c r="B115" s="24"/>
      <c r="C115" s="71" t="e">
        <f t="shared" ref="C115:AB115" si="116">C114</f>
        <v>#REF!</v>
      </c>
      <c r="D115" s="71" t="e">
        <f t="shared" si="116"/>
        <v>#REF!</v>
      </c>
      <c r="E115" s="71" t="e">
        <f t="shared" si="116"/>
        <v>#REF!</v>
      </c>
      <c r="F115" s="71" t="e">
        <f t="shared" si="116"/>
        <v>#VALUE!</v>
      </c>
      <c r="G115" s="71" t="e">
        <f t="shared" si="116"/>
        <v>#VALUE!</v>
      </c>
      <c r="H115" s="71">
        <f t="shared" si="116"/>
        <v>4.0997024158639039</v>
      </c>
      <c r="I115" s="71">
        <f t="shared" si="116"/>
        <v>3.7482374150358044</v>
      </c>
      <c r="J115" s="71">
        <f t="shared" si="116"/>
        <v>3.4016270542114979</v>
      </c>
      <c r="K115" s="71">
        <f t="shared" si="116"/>
        <v>3.0043400540638476</v>
      </c>
      <c r="L115" s="71">
        <f t="shared" si="116"/>
        <v>2.6955322242002477</v>
      </c>
      <c r="M115" s="71">
        <f t="shared" si="116"/>
        <v>2.5909903989030703</v>
      </c>
      <c r="N115" s="71">
        <f t="shared" si="116"/>
        <v>2.4974220892491905</v>
      </c>
      <c r="O115" s="71">
        <f t="shared" si="116"/>
        <v>2.4162528164022978</v>
      </c>
      <c r="P115" s="71">
        <f t="shared" si="116"/>
        <v>2.9243394191863281</v>
      </c>
      <c r="Q115" s="71">
        <f t="shared" si="116"/>
        <v>3.295231644497032</v>
      </c>
      <c r="R115" s="71">
        <f t="shared" si="116"/>
        <v>3.4506217184602006</v>
      </c>
      <c r="S115" s="71">
        <f t="shared" si="116"/>
        <v>3.3421195127115277</v>
      </c>
      <c r="T115" s="71">
        <f t="shared" si="116"/>
        <v>3.3058997819771729</v>
      </c>
      <c r="U115" s="71">
        <f t="shared" si="116"/>
        <v>3.416706440137407</v>
      </c>
      <c r="V115" s="71">
        <f t="shared" si="116"/>
        <v>3.4357405481509451</v>
      </c>
      <c r="W115" s="71">
        <f t="shared" si="116"/>
        <v>3.285285460278331</v>
      </c>
      <c r="X115" s="71">
        <f t="shared" si="116"/>
        <v>3.1924570062718427</v>
      </c>
      <c r="Y115" s="71">
        <f t="shared" si="116"/>
        <v>3.1574213252695049</v>
      </c>
      <c r="Z115" s="71">
        <f t="shared" si="116"/>
        <v>2.6369357062653975</v>
      </c>
      <c r="AA115" s="71">
        <f t="shared" si="116"/>
        <v>2.3447582807227363</v>
      </c>
      <c r="AB115" s="71">
        <f t="shared" si="116"/>
        <v>2.1798373254371839</v>
      </c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  <c r="BE115" s="65"/>
      <c r="BF115" s="65"/>
      <c r="BG115" s="65"/>
      <c r="BH115" s="65"/>
      <c r="BI115" s="65"/>
      <c r="BJ115" s="65"/>
      <c r="BK115" s="65"/>
      <c r="BL115" s="65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</row>
    <row r="116" spans="1:74" s="26" customFormat="1" ht="13.5" x14ac:dyDescent="0.25"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  <c r="BE116" s="65"/>
      <c r="BF116" s="65"/>
      <c r="BG116" s="65"/>
      <c r="BH116" s="65"/>
      <c r="BI116" s="65"/>
      <c r="BJ116" s="65"/>
      <c r="BK116" s="65"/>
      <c r="BL116" s="65"/>
      <c r="BM116" s="65"/>
      <c r="BN116" s="65"/>
      <c r="BO116" s="65"/>
      <c r="BP116" s="65"/>
      <c r="BQ116" s="65"/>
      <c r="BR116" s="65"/>
      <c r="BS116" s="65"/>
      <c r="BT116" s="65"/>
      <c r="BU116" s="65"/>
      <c r="BV116" s="65"/>
    </row>
    <row r="117" spans="1:74" s="26" customFormat="1" ht="13.5" x14ac:dyDescent="0.25">
      <c r="A117" s="26" t="s">
        <v>112</v>
      </c>
      <c r="B117" s="38">
        <f t="shared" ref="B117:Z117" si="117">(B58-B60)/B65*100</f>
        <v>28.952758811588851</v>
      </c>
      <c r="C117" s="38">
        <f t="shared" si="117"/>
        <v>31.071917611656374</v>
      </c>
      <c r="D117" s="38">
        <f t="shared" si="117"/>
        <v>31.899087967049134</v>
      </c>
      <c r="E117" s="38">
        <f t="shared" si="117"/>
        <v>31.796009783176231</v>
      </c>
      <c r="F117" s="38">
        <f t="shared" si="117"/>
        <v>32.088534228239496</v>
      </c>
      <c r="G117" s="38">
        <f t="shared" si="117"/>
        <v>32.348534259373515</v>
      </c>
      <c r="H117" s="38">
        <f t="shared" si="117"/>
        <v>32.875660832243206</v>
      </c>
      <c r="I117" s="38">
        <f t="shared" si="117"/>
        <v>34.933722781716206</v>
      </c>
      <c r="J117" s="38">
        <f t="shared" si="117"/>
        <v>40.563671319546891</v>
      </c>
      <c r="K117" s="38">
        <f t="shared" si="117"/>
        <v>45.038535928654149</v>
      </c>
      <c r="L117" s="38">
        <f t="shared" si="117"/>
        <v>62.249302458684085</v>
      </c>
      <c r="M117" s="38">
        <f t="shared" si="117"/>
        <v>43.276531227499163</v>
      </c>
      <c r="N117" s="38">
        <f t="shared" si="117"/>
        <v>37.910870508691382</v>
      </c>
      <c r="O117" s="38">
        <f t="shared" si="117"/>
        <v>36.094088310763048</v>
      </c>
      <c r="P117" s="38">
        <f t="shared" si="117"/>
        <v>33.649868082004744</v>
      </c>
      <c r="Q117" s="38">
        <f t="shared" si="117"/>
        <v>26.312144974185131</v>
      </c>
      <c r="R117" s="38">
        <f t="shared" si="117"/>
        <v>25.468559061262347</v>
      </c>
      <c r="S117" s="38">
        <f t="shared" si="117"/>
        <v>24.111587145063961</v>
      </c>
      <c r="T117" s="38">
        <f t="shared" si="117"/>
        <v>23.741968534554587</v>
      </c>
      <c r="U117" s="38">
        <f t="shared" si="117"/>
        <v>23.605763805099816</v>
      </c>
      <c r="V117" s="38">
        <f t="shared" si="117"/>
        <v>24.667052382511589</v>
      </c>
      <c r="W117" s="38">
        <f t="shared" si="117"/>
        <v>24.3952044311484</v>
      </c>
      <c r="X117" s="38">
        <f t="shared" si="117"/>
        <v>24.128180101527523</v>
      </c>
      <c r="Y117" s="38">
        <f t="shared" si="117"/>
        <v>23.896253679110792</v>
      </c>
      <c r="Z117" s="38">
        <f t="shared" si="117"/>
        <v>23.743860045265048</v>
      </c>
      <c r="AA117" s="38"/>
      <c r="AB117" s="38"/>
      <c r="AC117" s="38"/>
      <c r="AD117" s="38"/>
      <c r="AE117" s="38"/>
      <c r="AF117" s="38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  <c r="BE117" s="65"/>
      <c r="BF117" s="65"/>
      <c r="BG117" s="65"/>
      <c r="BH117" s="65"/>
      <c r="BI117" s="65"/>
      <c r="BJ117" s="65"/>
      <c r="BK117" s="65"/>
      <c r="BL117" s="65"/>
      <c r="BM117" s="65"/>
      <c r="BN117" s="65"/>
      <c r="BO117" s="65"/>
      <c r="BP117" s="65"/>
      <c r="BQ117" s="65"/>
      <c r="BR117" s="65"/>
      <c r="BS117" s="65"/>
      <c r="BT117" s="65"/>
      <c r="BU117" s="65"/>
      <c r="BV117" s="65"/>
    </row>
    <row r="118" spans="1:74" s="26" customFormat="1" ht="13.5" x14ac:dyDescent="0.25">
      <c r="A118" s="26" t="s">
        <v>113</v>
      </c>
      <c r="B118" s="38">
        <f t="shared" ref="B118:Q118" si="118">B117</f>
        <v>28.952758811588851</v>
      </c>
      <c r="C118" s="38">
        <f t="shared" si="118"/>
        <v>31.071917611656374</v>
      </c>
      <c r="D118" s="38">
        <f t="shared" si="118"/>
        <v>31.899087967049134</v>
      </c>
      <c r="E118" s="38">
        <f t="shared" si="118"/>
        <v>31.796009783176231</v>
      </c>
      <c r="F118" s="38">
        <f t="shared" si="118"/>
        <v>32.088534228239496</v>
      </c>
      <c r="G118" s="38">
        <f t="shared" si="118"/>
        <v>32.348534259373515</v>
      </c>
      <c r="H118" s="38">
        <f t="shared" si="118"/>
        <v>32.875660832243206</v>
      </c>
      <c r="I118" s="38">
        <f t="shared" si="118"/>
        <v>34.933722781716206</v>
      </c>
      <c r="J118" s="38">
        <f t="shared" si="118"/>
        <v>40.563671319546891</v>
      </c>
      <c r="K118" s="38">
        <f t="shared" si="118"/>
        <v>45.038535928654149</v>
      </c>
      <c r="L118" s="38">
        <f t="shared" si="118"/>
        <v>62.249302458684085</v>
      </c>
      <c r="M118" s="38">
        <f t="shared" si="118"/>
        <v>43.276531227499163</v>
      </c>
      <c r="N118" s="38">
        <f t="shared" si="118"/>
        <v>37.910870508691382</v>
      </c>
      <c r="O118" s="38">
        <f t="shared" si="118"/>
        <v>36.094088310763048</v>
      </c>
      <c r="P118" s="38">
        <f t="shared" si="118"/>
        <v>33.649868082004744</v>
      </c>
      <c r="Q118" s="38">
        <f t="shared" si="118"/>
        <v>26.312144974185131</v>
      </c>
      <c r="R118" s="38">
        <f>R117</f>
        <v>25.468559061262347</v>
      </c>
      <c r="S118" s="38">
        <f t="shared" ref="S118:Y118" si="119">S117</f>
        <v>24.111587145063961</v>
      </c>
      <c r="T118" s="38">
        <f t="shared" si="119"/>
        <v>23.741968534554587</v>
      </c>
      <c r="U118" s="38">
        <f t="shared" si="119"/>
        <v>23.605763805099816</v>
      </c>
      <c r="V118" s="38">
        <f t="shared" si="119"/>
        <v>24.667052382511589</v>
      </c>
      <c r="W118" s="38">
        <f t="shared" si="119"/>
        <v>24.3952044311484</v>
      </c>
      <c r="X118" s="38">
        <f t="shared" si="119"/>
        <v>24.128180101527523</v>
      </c>
      <c r="Y118" s="38">
        <f t="shared" si="119"/>
        <v>23.896253679110792</v>
      </c>
      <c r="Z118" s="38">
        <f t="shared" ref="Z118" si="120">Z117</f>
        <v>23.743860045265048</v>
      </c>
      <c r="AA118" s="38"/>
      <c r="AB118" s="38"/>
      <c r="AC118" s="38"/>
      <c r="AD118" s="38"/>
      <c r="AE118" s="38"/>
      <c r="AF118" s="38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  <c r="BE118" s="65"/>
      <c r="BF118" s="65"/>
      <c r="BG118" s="65"/>
      <c r="BH118" s="65"/>
      <c r="BI118" s="65"/>
      <c r="BJ118" s="65"/>
      <c r="BK118" s="65"/>
      <c r="BL118" s="65"/>
      <c r="BM118" s="65"/>
      <c r="BN118" s="65"/>
      <c r="BO118" s="65"/>
      <c r="BP118" s="65"/>
      <c r="BQ118" s="65"/>
      <c r="BR118" s="65"/>
      <c r="BS118" s="65"/>
      <c r="BT118" s="65"/>
      <c r="BU118" s="65"/>
      <c r="BV118" s="65"/>
    </row>
    <row r="119" spans="1:74" s="26" customFormat="1" ht="13.5" x14ac:dyDescent="0.25">
      <c r="A119" s="26" t="s">
        <v>114</v>
      </c>
      <c r="B119" s="72" t="e">
        <f t="shared" ref="B119:O119" si="121">IF(B195="-",0,B195)</f>
        <v>#VALUE!</v>
      </c>
      <c r="C119" s="72">
        <f t="shared" si="121"/>
        <v>0</v>
      </c>
      <c r="D119" s="72">
        <f t="shared" si="121"/>
        <v>0.75</v>
      </c>
      <c r="E119" s="72">
        <f t="shared" si="121"/>
        <v>0.5</v>
      </c>
      <c r="F119" s="72">
        <f t="shared" si="121"/>
        <v>0.75</v>
      </c>
      <c r="G119" s="72">
        <f t="shared" si="121"/>
        <v>0.75</v>
      </c>
      <c r="H119" s="72">
        <f t="shared" si="121"/>
        <v>0.75</v>
      </c>
      <c r="I119" s="72">
        <f t="shared" si="121"/>
        <v>0.75</v>
      </c>
      <c r="J119" s="72">
        <f t="shared" si="121"/>
        <v>0.5</v>
      </c>
      <c r="K119" s="72">
        <f t="shared" si="121"/>
        <v>0</v>
      </c>
      <c r="L119" s="72">
        <f t="shared" si="121"/>
        <v>0</v>
      </c>
      <c r="M119" s="72">
        <f t="shared" si="121"/>
        <v>0</v>
      </c>
      <c r="N119" s="72">
        <f t="shared" si="121"/>
        <v>0</v>
      </c>
      <c r="O119" s="72">
        <f t="shared" si="121"/>
        <v>0</v>
      </c>
      <c r="P119" s="72">
        <f>IF(P195="-",0,P195)</f>
        <v>0</v>
      </c>
      <c r="Q119" s="72">
        <f>IF(Q195="-",0,Q195)</f>
        <v>0.25</v>
      </c>
      <c r="R119" s="72">
        <f t="shared" ref="R119:W119" si="122">IF(R195="-",0,R195)</f>
        <v>0</v>
      </c>
      <c r="S119" s="72">
        <f t="shared" si="122"/>
        <v>0</v>
      </c>
      <c r="T119" s="72">
        <f t="shared" si="122"/>
        <v>0</v>
      </c>
      <c r="U119" s="72">
        <f t="shared" si="122"/>
        <v>0</v>
      </c>
      <c r="V119" s="72">
        <f t="shared" si="122"/>
        <v>0</v>
      </c>
      <c r="W119" s="72">
        <f t="shared" si="122"/>
        <v>0</v>
      </c>
      <c r="X119" s="72">
        <f>IF(X195="-",0,X195)</f>
        <v>2.1557829679424545E-2</v>
      </c>
      <c r="Y119" s="72">
        <f>IF(Y195="-",0,Y195)</f>
        <v>0.19289612418932267</v>
      </c>
      <c r="Z119" s="72">
        <f>IF(Z195="-",0,Z195)</f>
        <v>0.23542523582821306</v>
      </c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  <c r="BE119" s="65"/>
      <c r="BF119" s="65"/>
      <c r="BG119" s="65"/>
      <c r="BH119" s="65"/>
      <c r="BI119" s="65"/>
      <c r="BJ119" s="65"/>
      <c r="BK119" s="65"/>
      <c r="BL119" s="65"/>
      <c r="BM119" s="65"/>
      <c r="BN119" s="65"/>
      <c r="BO119" s="65"/>
      <c r="BP119" s="65"/>
      <c r="BQ119" s="65"/>
      <c r="BR119" s="65"/>
      <c r="BS119" s="65"/>
      <c r="BT119" s="65"/>
      <c r="BU119" s="65"/>
      <c r="BV119" s="65"/>
    </row>
    <row r="120" spans="1:74" s="26" customFormat="1" ht="13.5" x14ac:dyDescent="0.25">
      <c r="A120" s="73" t="s">
        <v>115</v>
      </c>
      <c r="B120" s="38" t="e">
        <f t="shared" ref="B120:O120" si="123">B119/B118*100</f>
        <v>#VALUE!</v>
      </c>
      <c r="C120" s="38">
        <f t="shared" si="123"/>
        <v>0</v>
      </c>
      <c r="D120" s="38">
        <f t="shared" si="123"/>
        <v>2.3511643993543925</v>
      </c>
      <c r="E120" s="38">
        <f t="shared" si="123"/>
        <v>1.5725243620492213</v>
      </c>
      <c r="F120" s="38">
        <f t="shared" si="123"/>
        <v>2.3372834504231199</v>
      </c>
      <c r="G120" s="38">
        <f t="shared" si="123"/>
        <v>2.3184976295569721</v>
      </c>
      <c r="H120" s="38">
        <f t="shared" si="123"/>
        <v>2.2813229635963039</v>
      </c>
      <c r="I120" s="38">
        <f t="shared" si="123"/>
        <v>2.146922630280157</v>
      </c>
      <c r="J120" s="38">
        <f t="shared" si="123"/>
        <v>1.2326300449019247</v>
      </c>
      <c r="K120" s="38">
        <f t="shared" si="123"/>
        <v>0</v>
      </c>
      <c r="L120" s="38">
        <f t="shared" si="123"/>
        <v>0</v>
      </c>
      <c r="M120" s="38">
        <f t="shared" si="123"/>
        <v>0</v>
      </c>
      <c r="N120" s="38">
        <f t="shared" si="123"/>
        <v>0</v>
      </c>
      <c r="O120" s="38">
        <f t="shared" si="123"/>
        <v>0</v>
      </c>
      <c r="P120" s="38">
        <f>P119/P118*100</f>
        <v>0</v>
      </c>
      <c r="Q120" s="38">
        <f>Q119/Q118*100</f>
        <v>0.95013158465520475</v>
      </c>
      <c r="R120" s="38">
        <f t="shared" ref="R120:W120" si="124">R119/R118*100</f>
        <v>0</v>
      </c>
      <c r="S120" s="38">
        <f t="shared" si="124"/>
        <v>0</v>
      </c>
      <c r="T120" s="38">
        <f t="shared" si="124"/>
        <v>0</v>
      </c>
      <c r="U120" s="38">
        <f t="shared" si="124"/>
        <v>0</v>
      </c>
      <c r="V120" s="38">
        <f t="shared" si="124"/>
        <v>0</v>
      </c>
      <c r="W120" s="38">
        <f t="shared" si="124"/>
        <v>0</v>
      </c>
      <c r="X120" s="38">
        <f>X119/X118*100</f>
        <v>8.9347101972517801E-2</v>
      </c>
      <c r="Y120" s="38">
        <f>Y119/Y118*100</f>
        <v>0.80722328604146532</v>
      </c>
      <c r="Z120" s="38">
        <f>Z119/Z118*100</f>
        <v>0.99152048310342489</v>
      </c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  <c r="BE120" s="65"/>
      <c r="BF120" s="65"/>
      <c r="BG120" s="65"/>
      <c r="BH120" s="65"/>
      <c r="BI120" s="65"/>
      <c r="BJ120" s="65"/>
      <c r="BK120" s="65"/>
      <c r="BL120" s="65"/>
      <c r="BM120" s="65"/>
      <c r="BN120" s="65"/>
      <c r="BO120" s="65"/>
      <c r="BP120" s="65"/>
      <c r="BQ120" s="65"/>
      <c r="BR120" s="65"/>
      <c r="BS120" s="65"/>
      <c r="BT120" s="65"/>
      <c r="BU120" s="65"/>
      <c r="BV120" s="65"/>
    </row>
    <row r="121" spans="1:74" s="26" customFormat="1" ht="13.5" x14ac:dyDescent="0.25">
      <c r="A121" s="73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  <c r="BE121" s="65"/>
      <c r="BF121" s="65"/>
      <c r="BG121" s="65"/>
      <c r="BH121" s="65"/>
      <c r="BI121" s="65"/>
      <c r="BJ121" s="65"/>
      <c r="BK121" s="65"/>
      <c r="BL121" s="65"/>
      <c r="BM121" s="65"/>
      <c r="BN121" s="65"/>
      <c r="BO121" s="65"/>
      <c r="BP121" s="65"/>
      <c r="BQ121" s="65"/>
      <c r="BR121" s="65"/>
      <c r="BS121" s="65"/>
      <c r="BT121" s="65"/>
      <c r="BU121" s="65"/>
      <c r="BV121" s="65"/>
    </row>
    <row r="122" spans="1:74" s="26" customFormat="1" ht="13.5" x14ac:dyDescent="0.25">
      <c r="A122" s="26" t="s">
        <v>17</v>
      </c>
      <c r="B122" s="38">
        <f>'Forecast Estimates'!B11</f>
        <v>0</v>
      </c>
      <c r="C122" s="38">
        <f>'Forecast Estimates'!C11</f>
        <v>6.8868974150514184</v>
      </c>
      <c r="D122" s="38">
        <f>'Forecast Estimates'!D11</f>
        <v>5.2491706746798483</v>
      </c>
      <c r="E122" s="38">
        <f>'Forecast Estimates'!E11</f>
        <v>3.9200603321697836</v>
      </c>
      <c r="F122" s="38">
        <f>'Forecast Estimates'!F11</f>
        <v>0.51729093966270678</v>
      </c>
      <c r="G122" s="38">
        <f>'Forecast Estimates'!G11</f>
        <v>3.1161649077992681</v>
      </c>
      <c r="H122" s="38">
        <f>'Forecast Estimates'!H11</f>
        <v>3.4546280537661955</v>
      </c>
      <c r="I122" s="38">
        <f>'Forecast Estimates'!I11</f>
        <v>1.2103205307623766</v>
      </c>
      <c r="J122" s="38">
        <f>'Forecast Estimates'!J11</f>
        <v>-0.31696451492468913</v>
      </c>
      <c r="K122" s="38">
        <f>'Forecast Estimates'!K11</f>
        <v>-4.5619281435162478</v>
      </c>
      <c r="L122" s="38">
        <f>'Forecast Estimates'!L11</f>
        <v>-3.1458534548861494</v>
      </c>
      <c r="M122" s="38">
        <f>'Forecast Estimates'!M11</f>
        <v>1.4967129597211359</v>
      </c>
      <c r="N122" s="38">
        <f>'Forecast Estimates'!N11</f>
        <v>2.2795388731627897</v>
      </c>
      <c r="O122" s="38">
        <f>'Forecast Estimates'!O11</f>
        <v>1.2272380195011756</v>
      </c>
      <c r="P122" s="38">
        <f>'Forecast Estimates'!P11</f>
        <v>-0.11078276839463497</v>
      </c>
      <c r="Q122" s="38">
        <f>'Forecast Estimates'!Q11</f>
        <v>7.7896569720135478</v>
      </c>
      <c r="R122" s="38">
        <f>'Forecast Estimates'!R11</f>
        <v>-0.29949084416349692</v>
      </c>
      <c r="S122" s="38">
        <f>'Forecast Estimates'!S11</f>
        <v>1.1292531028695096</v>
      </c>
      <c r="T122" s="38">
        <f>'Forecast Estimates'!T11</f>
        <v>0.81890194955911433</v>
      </c>
      <c r="U122" s="38">
        <f>'Forecast Estimates'!U11</f>
        <v>0.43088458481728154</v>
      </c>
      <c r="V122" s="38">
        <f>'Forecast Estimates'!V11</f>
        <v>1.6459509265629002</v>
      </c>
      <c r="W122" s="38">
        <f>'Forecast Estimates'!W11</f>
        <v>1.4373891321334487</v>
      </c>
      <c r="X122" s="38">
        <f>'Forecast Estimates'!X11</f>
        <v>1.3799170697606833</v>
      </c>
      <c r="Y122" s="38">
        <f>'Forecast Estimates'!Y11</f>
        <v>1.3874075065220204</v>
      </c>
      <c r="Z122" s="38">
        <f>'Forecast Estimates'!Z11</f>
        <v>1.3730061434860552</v>
      </c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  <c r="BE122" s="65"/>
      <c r="BF122" s="65"/>
      <c r="BG122" s="65"/>
      <c r="BH122" s="65"/>
      <c r="BI122" s="65"/>
      <c r="BJ122" s="65"/>
      <c r="BK122" s="65"/>
      <c r="BL122" s="65"/>
      <c r="BM122" s="65"/>
      <c r="BN122" s="65"/>
      <c r="BO122" s="65"/>
      <c r="BP122" s="65"/>
      <c r="BQ122" s="65"/>
      <c r="BR122" s="65"/>
      <c r="BS122" s="65"/>
      <c r="BT122" s="65"/>
      <c r="BU122" s="65"/>
      <c r="BV122" s="65"/>
    </row>
    <row r="123" spans="1:74" s="26" customFormat="1" ht="13.5" x14ac:dyDescent="0.25">
      <c r="A123" s="68" t="s">
        <v>176</v>
      </c>
      <c r="B123" s="26">
        <f t="shared" ref="B123:P124" si="125">B122</f>
        <v>0</v>
      </c>
      <c r="C123" s="26">
        <f t="shared" si="125"/>
        <v>6.8868974150514184</v>
      </c>
      <c r="D123" s="26">
        <f t="shared" si="125"/>
        <v>5.2491706746798483</v>
      </c>
      <c r="E123" s="26">
        <f t="shared" si="125"/>
        <v>3.9200603321697836</v>
      </c>
      <c r="F123" s="26">
        <f t="shared" si="125"/>
        <v>0.51729093966270678</v>
      </c>
      <c r="G123" s="26">
        <f t="shared" si="125"/>
        <v>3.1161649077992681</v>
      </c>
      <c r="H123" s="26">
        <f t="shared" si="125"/>
        <v>3.4546280537661955</v>
      </c>
      <c r="I123" s="26">
        <f t="shared" si="125"/>
        <v>1.2103205307623766</v>
      </c>
      <c r="J123" s="26">
        <f t="shared" si="125"/>
        <v>-0.31696451492468913</v>
      </c>
      <c r="K123" s="26">
        <f t="shared" si="125"/>
        <v>-4.5619281435162478</v>
      </c>
      <c r="L123" s="26">
        <f t="shared" si="125"/>
        <v>-3.1458534548861494</v>
      </c>
      <c r="M123" s="26">
        <f t="shared" si="125"/>
        <v>1.4967129597211359</v>
      </c>
      <c r="N123" s="26">
        <f t="shared" si="125"/>
        <v>2.2795388731627897</v>
      </c>
      <c r="O123" s="26">
        <f t="shared" si="125"/>
        <v>1.2272380195011756</v>
      </c>
      <c r="P123" s="26">
        <f t="shared" si="125"/>
        <v>-0.11078276839463497</v>
      </c>
      <c r="Q123" s="26">
        <f>AVERAGE(P123,R123)</f>
        <v>-0.20513680627906594</v>
      </c>
      <c r="R123" s="26">
        <f t="shared" ref="R123:Z124" si="126">R122</f>
        <v>-0.29949084416349692</v>
      </c>
      <c r="S123" s="26">
        <f t="shared" si="126"/>
        <v>1.1292531028695096</v>
      </c>
      <c r="T123" s="26">
        <f t="shared" si="126"/>
        <v>0.81890194955911433</v>
      </c>
      <c r="U123" s="26">
        <f t="shared" si="126"/>
        <v>0.43088458481728154</v>
      </c>
      <c r="V123" s="26">
        <f t="shared" si="126"/>
        <v>1.6459509265629002</v>
      </c>
      <c r="W123" s="26">
        <f t="shared" si="126"/>
        <v>1.4373891321334487</v>
      </c>
      <c r="X123" s="26">
        <f t="shared" si="126"/>
        <v>1.3799170697606833</v>
      </c>
      <c r="Y123" s="26">
        <f t="shared" si="126"/>
        <v>1.3874075065220204</v>
      </c>
      <c r="Z123" s="26">
        <f t="shared" si="126"/>
        <v>1.3730061434860552</v>
      </c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  <c r="BD123" s="65"/>
      <c r="BE123" s="65"/>
      <c r="BF123" s="65"/>
      <c r="BG123" s="65"/>
      <c r="BH123" s="65"/>
      <c r="BI123" s="65"/>
      <c r="BJ123" s="65"/>
      <c r="BK123" s="65"/>
      <c r="BL123" s="65"/>
      <c r="BM123" s="65"/>
      <c r="BN123" s="65"/>
      <c r="BO123" s="65"/>
      <c r="BP123" s="65"/>
      <c r="BQ123" s="65"/>
      <c r="BR123" s="65"/>
      <c r="BS123" s="65"/>
      <c r="BT123" s="65"/>
      <c r="BU123" s="65"/>
      <c r="BV123" s="65"/>
    </row>
    <row r="124" spans="1:74" s="24" customFormat="1" ht="13.5" x14ac:dyDescent="0.25">
      <c r="A124" s="24" t="s">
        <v>116</v>
      </c>
      <c r="B124" s="71">
        <f t="shared" si="125"/>
        <v>0</v>
      </c>
      <c r="C124" s="71">
        <f t="shared" si="125"/>
        <v>6.8868974150514184</v>
      </c>
      <c r="D124" s="71">
        <f t="shared" si="125"/>
        <v>5.2491706746798483</v>
      </c>
      <c r="E124" s="71">
        <f t="shared" si="125"/>
        <v>3.9200603321697836</v>
      </c>
      <c r="F124" s="71">
        <f t="shared" si="125"/>
        <v>0.51729093966270678</v>
      </c>
      <c r="G124" s="71">
        <f t="shared" si="125"/>
        <v>3.1161649077992681</v>
      </c>
      <c r="H124" s="71">
        <f t="shared" si="125"/>
        <v>3.4546280537661955</v>
      </c>
      <c r="I124" s="71">
        <f t="shared" si="125"/>
        <v>1.2103205307623766</v>
      </c>
      <c r="J124" s="71">
        <f t="shared" si="125"/>
        <v>-0.31696451492468913</v>
      </c>
      <c r="K124" s="71">
        <f t="shared" si="125"/>
        <v>-4.5619281435162478</v>
      </c>
      <c r="L124" s="71">
        <f t="shared" si="125"/>
        <v>-3.1458534548861494</v>
      </c>
      <c r="M124" s="71">
        <f t="shared" si="125"/>
        <v>1.4967129597211359</v>
      </c>
      <c r="N124" s="71">
        <f t="shared" si="125"/>
        <v>2.2795388731627897</v>
      </c>
      <c r="O124" s="71">
        <f t="shared" si="125"/>
        <v>1.2272380195011756</v>
      </c>
      <c r="P124" s="71">
        <f t="shared" si="125"/>
        <v>-0.11078276839463497</v>
      </c>
      <c r="Q124" s="71">
        <f>Q123</f>
        <v>-0.20513680627906594</v>
      </c>
      <c r="R124" s="71">
        <f t="shared" si="126"/>
        <v>-0.29949084416349692</v>
      </c>
      <c r="S124" s="71">
        <f t="shared" si="126"/>
        <v>1.1292531028695096</v>
      </c>
      <c r="T124" s="71">
        <f t="shared" si="126"/>
        <v>0.81890194955911433</v>
      </c>
      <c r="U124" s="71">
        <f t="shared" si="126"/>
        <v>0.43088458481728154</v>
      </c>
      <c r="V124" s="71">
        <f t="shared" si="126"/>
        <v>1.6459509265629002</v>
      </c>
      <c r="W124" s="71">
        <f t="shared" si="126"/>
        <v>1.4373891321334487</v>
      </c>
      <c r="X124" s="71">
        <f t="shared" si="126"/>
        <v>1.3799170697606833</v>
      </c>
      <c r="Y124" s="71">
        <f t="shared" si="126"/>
        <v>1.3874075065220204</v>
      </c>
      <c r="Z124" s="71">
        <f t="shared" si="126"/>
        <v>1.3730061434860552</v>
      </c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</row>
    <row r="125" spans="1:74" s="24" customFormat="1" ht="13.5" x14ac:dyDescent="0.25"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</row>
    <row r="126" spans="1:74" s="26" customFormat="1" ht="13.5" x14ac:dyDescent="0.25">
      <c r="A126" s="68" t="s">
        <v>117</v>
      </c>
      <c r="B126" s="26" t="e">
        <f t="shared" ref="B126:Y126" si="127">B115-B120</f>
        <v>#VALUE!</v>
      </c>
      <c r="C126" s="26" t="e">
        <f t="shared" si="127"/>
        <v>#REF!</v>
      </c>
      <c r="D126" s="26" t="e">
        <f t="shared" si="127"/>
        <v>#REF!</v>
      </c>
      <c r="E126" s="26" t="e">
        <f t="shared" si="127"/>
        <v>#REF!</v>
      </c>
      <c r="F126" s="26" t="e">
        <f t="shared" si="127"/>
        <v>#VALUE!</v>
      </c>
      <c r="G126" s="26" t="e">
        <f t="shared" si="127"/>
        <v>#VALUE!</v>
      </c>
      <c r="H126" s="26">
        <f t="shared" si="127"/>
        <v>1.8183794522676</v>
      </c>
      <c r="I126" s="26">
        <f t="shared" si="127"/>
        <v>1.6013147847556475</v>
      </c>
      <c r="J126" s="26">
        <f t="shared" si="127"/>
        <v>2.1689970093095732</v>
      </c>
      <c r="K126" s="26">
        <f t="shared" si="127"/>
        <v>3.0043400540638476</v>
      </c>
      <c r="L126" s="26">
        <f t="shared" si="127"/>
        <v>2.6955322242002477</v>
      </c>
      <c r="M126" s="26">
        <f t="shared" si="127"/>
        <v>2.5909903989030703</v>
      </c>
      <c r="N126" s="26">
        <f t="shared" si="127"/>
        <v>2.4974220892491905</v>
      </c>
      <c r="O126" s="26">
        <f t="shared" si="127"/>
        <v>2.4162528164022978</v>
      </c>
      <c r="P126" s="26">
        <f t="shared" si="127"/>
        <v>2.9243394191863281</v>
      </c>
      <c r="Q126" s="26">
        <f t="shared" si="127"/>
        <v>2.345100059841827</v>
      </c>
      <c r="R126" s="26">
        <f t="shared" si="127"/>
        <v>3.4506217184602006</v>
      </c>
      <c r="S126" s="26">
        <f t="shared" si="127"/>
        <v>3.3421195127115277</v>
      </c>
      <c r="T126" s="26">
        <f t="shared" si="127"/>
        <v>3.3058997819771729</v>
      </c>
      <c r="U126" s="26">
        <f t="shared" si="127"/>
        <v>3.416706440137407</v>
      </c>
      <c r="V126" s="26">
        <f t="shared" si="127"/>
        <v>3.4357405481509451</v>
      </c>
      <c r="W126" s="26">
        <f t="shared" si="127"/>
        <v>3.285285460278331</v>
      </c>
      <c r="X126" s="26">
        <f t="shared" si="127"/>
        <v>3.1031099042993251</v>
      </c>
      <c r="Y126" s="26">
        <f t="shared" si="127"/>
        <v>2.3501980392280397</v>
      </c>
      <c r="Z126" s="26">
        <f t="shared" ref="Z126" si="128">Z115-Z120</f>
        <v>1.6454152231619728</v>
      </c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65"/>
      <c r="BR126" s="65"/>
      <c r="BS126" s="65"/>
      <c r="BT126" s="65"/>
      <c r="BU126" s="65"/>
      <c r="BV126" s="65"/>
    </row>
    <row r="127" spans="1:74" s="26" customFormat="1" ht="13.5" x14ac:dyDescent="0.25">
      <c r="A127" s="66" t="s">
        <v>118</v>
      </c>
      <c r="B127" s="26" t="e">
        <f t="shared" ref="B127:Y127" si="129">((1+B126/100)*(1+B124/100)-1)*100</f>
        <v>#VALUE!</v>
      </c>
      <c r="C127" s="26" t="e">
        <f t="shared" si="129"/>
        <v>#REF!</v>
      </c>
      <c r="D127" s="26" t="e">
        <f t="shared" si="129"/>
        <v>#REF!</v>
      </c>
      <c r="E127" s="26" t="e">
        <f t="shared" si="129"/>
        <v>#REF!</v>
      </c>
      <c r="F127" s="26" t="e">
        <f t="shared" si="129"/>
        <v>#VALUE!</v>
      </c>
      <c r="G127" s="26" t="e">
        <f t="shared" si="129"/>
        <v>#VALUE!</v>
      </c>
      <c r="H127" s="26">
        <f t="shared" si="129"/>
        <v>5.3358257527157393</v>
      </c>
      <c r="I127" s="26">
        <f t="shared" si="129"/>
        <v>2.8310163571200642</v>
      </c>
      <c r="J127" s="26">
        <f t="shared" si="129"/>
        <v>1.8451575435356027</v>
      </c>
      <c r="K127" s="26">
        <f t="shared" si="129"/>
        <v>-1.6946439239056699</v>
      </c>
      <c r="L127" s="26">
        <f t="shared" si="129"/>
        <v>-0.53511872428847473</v>
      </c>
      <c r="M127" s="26">
        <f t="shared" si="129"/>
        <v>4.1264830477097281</v>
      </c>
      <c r="N127" s="26">
        <f t="shared" si="129"/>
        <v>4.8338906697633632</v>
      </c>
      <c r="O127" s="26">
        <f t="shared" si="129"/>
        <v>3.6731440091136269</v>
      </c>
      <c r="P127" s="26">
        <f t="shared" si="129"/>
        <v>2.8103169866258604</v>
      </c>
      <c r="Q127" s="26">
        <f t="shared" si="129"/>
        <v>2.1351525901959434</v>
      </c>
      <c r="R127" s="26">
        <f t="shared" si="129"/>
        <v>3.1407965781832026</v>
      </c>
      <c r="S127" s="26">
        <f t="shared" si="129"/>
        <v>4.5091136038799329</v>
      </c>
      <c r="T127" s="26">
        <f t="shared" si="129"/>
        <v>4.1518738093013763</v>
      </c>
      <c r="U127" s="26">
        <f t="shared" si="129"/>
        <v>3.8623130863137067</v>
      </c>
      <c r="V127" s="26">
        <f t="shared" si="129"/>
        <v>5.1382420781004301</v>
      </c>
      <c r="W127" s="26">
        <f t="shared" si="129"/>
        <v>4.7698969285773885</v>
      </c>
      <c r="X127" s="26">
        <f t="shared" si="129"/>
        <v>4.5258473173228619</v>
      </c>
      <c r="Y127" s="26">
        <f t="shared" si="129"/>
        <v>3.7702123697644474</v>
      </c>
      <c r="Z127" s="26">
        <f t="shared" ref="Z127" si="130">((1+Z126/100)*(1+Z124/100)-1)*100</f>
        <v>3.0410130187479067</v>
      </c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5"/>
      <c r="BE127" s="65"/>
      <c r="BF127" s="65"/>
      <c r="BG127" s="65"/>
      <c r="BH127" s="65"/>
      <c r="BI127" s="65"/>
      <c r="BJ127" s="65"/>
      <c r="BK127" s="65"/>
      <c r="BL127" s="65"/>
      <c r="BM127" s="65"/>
      <c r="BN127" s="65"/>
      <c r="BO127" s="65"/>
      <c r="BP127" s="65"/>
      <c r="BQ127" s="65"/>
      <c r="BR127" s="65"/>
      <c r="BS127" s="65"/>
      <c r="BT127" s="65"/>
      <c r="BU127" s="65"/>
      <c r="BV127" s="65"/>
    </row>
    <row r="128" spans="1:74" s="26" customFormat="1" ht="13.5" x14ac:dyDescent="0.25"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  <c r="BD128" s="65"/>
      <c r="BE128" s="65"/>
      <c r="BF128" s="65"/>
      <c r="BG128" s="65"/>
      <c r="BH128" s="65"/>
      <c r="BI128" s="65"/>
      <c r="BJ128" s="65"/>
      <c r="BK128" s="65"/>
      <c r="BL128" s="65"/>
      <c r="BM128" s="65"/>
      <c r="BN128" s="65"/>
      <c r="BO128" s="65"/>
      <c r="BP128" s="65"/>
      <c r="BQ128" s="65"/>
      <c r="BR128" s="65"/>
      <c r="BS128" s="65"/>
      <c r="BT128" s="65"/>
      <c r="BU128" s="65"/>
      <c r="BV128" s="65"/>
    </row>
    <row r="129" spans="1:74" s="26" customFormat="1" ht="13.5" x14ac:dyDescent="0.25">
      <c r="A129" s="26" t="s">
        <v>119</v>
      </c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  <c r="BD129" s="65"/>
      <c r="BE129" s="65"/>
      <c r="BF129" s="65"/>
      <c r="BG129" s="65"/>
      <c r="BH129" s="65"/>
      <c r="BI129" s="65"/>
      <c r="BJ129" s="65"/>
      <c r="BK129" s="65"/>
      <c r="BL129" s="65"/>
      <c r="BM129" s="65"/>
      <c r="BN129" s="65"/>
      <c r="BO129" s="65"/>
      <c r="BP129" s="65"/>
      <c r="BQ129" s="65"/>
      <c r="BR129" s="65"/>
      <c r="BS129" s="65"/>
      <c r="BT129" s="65"/>
      <c r="BU129" s="65"/>
      <c r="BV129" s="65"/>
    </row>
    <row r="130" spans="1:74" s="26" customFormat="1" ht="13.5" x14ac:dyDescent="0.25">
      <c r="A130" s="26" t="s">
        <v>11</v>
      </c>
      <c r="B130" s="40">
        <f>'Forecast Estimates'!B4</f>
        <v>83.224999999999909</v>
      </c>
      <c r="C130" s="40">
        <f>'Forecast Estimates'!C4</f>
        <v>79.550000000000182</v>
      </c>
      <c r="D130" s="40">
        <f>'Forecast Estimates'!D4</f>
        <v>91.474999999999909</v>
      </c>
      <c r="E130" s="40">
        <f>'Forecast Estimates'!E4</f>
        <v>95.775000000000318</v>
      </c>
      <c r="F130" s="40">
        <f>'Forecast Estimates'!F4</f>
        <v>96.575000000000045</v>
      </c>
      <c r="G130" s="40">
        <f>'Forecast Estimates'!G4</f>
        <v>98.874999999999773</v>
      </c>
      <c r="H130" s="40">
        <f>'Forecast Estimates'!H4</f>
        <v>106.32500000000027</v>
      </c>
      <c r="I130" s="40">
        <f>'Forecast Estimates'!I4</f>
        <v>116.45000000000027</v>
      </c>
      <c r="J130" s="40">
        <f>'Forecast Estimates'!J4</f>
        <v>159.80000000000018</v>
      </c>
      <c r="K130" s="40">
        <f>'Forecast Estimates'!K4</f>
        <v>290.77500000000009</v>
      </c>
      <c r="L130" s="40">
        <f>'Forecast Estimates'!L4</f>
        <v>327.42499999999995</v>
      </c>
      <c r="M130" s="40">
        <f>'Forecast Estimates'!M4</f>
        <v>342.50000000000045</v>
      </c>
      <c r="N130" s="40">
        <f>'Forecast Estimates'!N4</f>
        <v>343.65000000000032</v>
      </c>
      <c r="O130" s="40">
        <f>'Forecast Estimates'!O4</f>
        <v>308.75</v>
      </c>
      <c r="P130" s="40">
        <f>'Forecast Estimates'!P4</f>
        <v>267.52499999999986</v>
      </c>
      <c r="Q130" s="40">
        <f>'Forecast Estimates'!Q4</f>
        <v>226.15000000000009</v>
      </c>
      <c r="R130" s="40">
        <f>'Forecast Estimates'!R4</f>
        <v>194.77499999999964</v>
      </c>
      <c r="S130" s="40">
        <f>'Forecast Estimates'!S4</f>
        <v>157.875</v>
      </c>
      <c r="T130" s="40">
        <f>'Forecast Estimates'!T4</f>
        <v>137</v>
      </c>
      <c r="U130" s="40">
        <f>'Forecast Estimates'!U4</f>
        <v>125</v>
      </c>
      <c r="V130" s="40">
        <f>'Forecast Estimates'!V4</f>
        <v>140</v>
      </c>
      <c r="W130" s="40">
        <f>'Forecast Estimates'!W4</f>
        <v>147</v>
      </c>
      <c r="X130" s="40">
        <f>'Forecast Estimates'!X4</f>
        <v>149</v>
      </c>
      <c r="Y130" s="40">
        <f>'Forecast Estimates'!Y4</f>
        <v>147</v>
      </c>
      <c r="Z130" s="40">
        <f>'Forecast Estimates'!Z4</f>
        <v>142</v>
      </c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  <c r="BD130" s="65"/>
      <c r="BE130" s="65"/>
      <c r="BF130" s="65"/>
      <c r="BG130" s="65"/>
      <c r="BH130" s="65"/>
      <c r="BI130" s="65"/>
      <c r="BJ130" s="65"/>
      <c r="BK130" s="65"/>
      <c r="BL130" s="65"/>
      <c r="BM130" s="65"/>
      <c r="BN130" s="65"/>
      <c r="BO130" s="65"/>
      <c r="BP130" s="65"/>
      <c r="BQ130" s="65"/>
      <c r="BR130" s="65"/>
      <c r="BS130" s="65"/>
      <c r="BT130" s="65"/>
      <c r="BU130" s="65"/>
      <c r="BV130" s="65"/>
    </row>
    <row r="131" spans="1:74" s="26" customFormat="1" ht="13.5" x14ac:dyDescent="0.25">
      <c r="A131" s="26" t="s">
        <v>120</v>
      </c>
      <c r="B131" s="38">
        <f>'Historical Data'!B22/1000</f>
        <v>1.3932</v>
      </c>
      <c r="C131" s="38">
        <f>'Historical Data'!C22/1000</f>
        <v>1.5712000000000002</v>
      </c>
      <c r="D131" s="38">
        <f>'Historical Data'!D22/1000</f>
        <v>1.6862999999999999</v>
      </c>
      <c r="E131" s="38">
        <f>'Historical Data'!E22/1000</f>
        <v>1.7750999999999999</v>
      </c>
      <c r="F131" s="38">
        <f>'Historical Data'!F22/1000</f>
        <v>1.9077</v>
      </c>
      <c r="G131" s="38">
        <f>'Historical Data'!G22/1000</f>
        <v>2.4021999999999997</v>
      </c>
      <c r="H131" s="38">
        <f>'Historical Data'!H22/1000</f>
        <v>2.6515</v>
      </c>
      <c r="I131" s="38">
        <f>IF('Historical Data'!I22="","-",'Historical Data'!I22/1000)</f>
        <v>3.0025999999999997</v>
      </c>
      <c r="J131" s="38">
        <f>IF('Historical Data'!J22="","-",'Historical Data'!J22/1000)</f>
        <v>3.4074</v>
      </c>
      <c r="K131" s="38">
        <f>IF('Historical Data'!K22="","-",'Historical Data'!K22/1000)</f>
        <v>3.827</v>
      </c>
      <c r="L131" s="38">
        <f>IF('Historical Data'!L22="","-",'Historical Data'!L22/1000)</f>
        <v>3.7651999999999997</v>
      </c>
      <c r="M131" s="38">
        <f>IF('Historical Data'!M22="","-",'Historical Data'!M22/1000)</f>
        <v>5.1017999999999999</v>
      </c>
      <c r="N131" s="38">
        <f>IF('Historical Data'!N22="","-",'Historical Data'!N22/1000)</f>
        <v>5.1189999999999998</v>
      </c>
      <c r="O131" s="38">
        <f>IF('Historical Data'!O22="","-",'Historical Data'!O22/1000)</f>
        <v>4.8357000000000001</v>
      </c>
      <c r="P131" s="38">
        <f>IF('Historical Data'!P22="","-",'Historical Data'!P22/1000)</f>
        <v>4.4248000000000003</v>
      </c>
      <c r="Q131" s="38">
        <f>IF('Historical Data'!Q22="","-",'Historical Data'!Q22/1000)</f>
        <v>4.12</v>
      </c>
      <c r="R131" s="38">
        <f>IF('Historical Data'!R22="","-",'Historical Data'!R22/1000)</f>
        <v>3.6865999999999999</v>
      </c>
      <c r="S131" s="38">
        <f>IF('Historical Data'!S22="","-",'Historical Data'!S22/1000)</f>
        <v>3.2103999999999999</v>
      </c>
      <c r="T131" s="38" t="str">
        <f>IF('Historical Data'!T22="","-",'Historical Data'!T22/1000)</f>
        <v>-</v>
      </c>
      <c r="U131" s="38" t="str">
        <f>IF('Historical Data'!U22="","-",'Historical Data'!U22/1000)</f>
        <v>-</v>
      </c>
      <c r="V131" s="38" t="str">
        <f>IF('Historical Data'!V22="","-",'Historical Data'!V22/1000)</f>
        <v>-</v>
      </c>
      <c r="W131" s="38" t="str">
        <f>IF('Historical Data'!W22="","-",'Historical Data'!W22/1000)</f>
        <v>-</v>
      </c>
      <c r="X131" s="38" t="str">
        <f>IF('Historical Data'!X22="","-",'Historical Data'!X22/1000)</f>
        <v>-</v>
      </c>
      <c r="Y131" s="38" t="str">
        <f>IF('Historical Data'!Y22="","-",'Historical Data'!Y22/1000)</f>
        <v>-</v>
      </c>
      <c r="Z131" s="38" t="str">
        <f>IF('Historical Data'!Z22="","-",'Historical Data'!Z22/1000)</f>
        <v>-</v>
      </c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65"/>
      <c r="BO131" s="65"/>
      <c r="BP131" s="65"/>
      <c r="BQ131" s="65"/>
      <c r="BR131" s="65"/>
      <c r="BS131" s="65"/>
      <c r="BT131" s="65"/>
      <c r="BU131" s="65"/>
      <c r="BV131" s="65"/>
    </row>
    <row r="132" spans="1:74" s="26" customFormat="1" ht="13.5" x14ac:dyDescent="0.25">
      <c r="A132" s="26" t="s">
        <v>121</v>
      </c>
      <c r="B132" s="38">
        <f t="shared" ref="B132:Z132" si="131">IF(B131="-",A133*B130*1000,B131)</f>
        <v>1.3932</v>
      </c>
      <c r="C132" s="38">
        <f t="shared" si="131"/>
        <v>1.5712000000000002</v>
      </c>
      <c r="D132" s="38">
        <f t="shared" si="131"/>
        <v>1.6862999999999999</v>
      </c>
      <c r="E132" s="38">
        <f t="shared" si="131"/>
        <v>1.7750999999999999</v>
      </c>
      <c r="F132" s="38">
        <f t="shared" si="131"/>
        <v>1.9077</v>
      </c>
      <c r="G132" s="38">
        <f t="shared" si="131"/>
        <v>2.4021999999999997</v>
      </c>
      <c r="H132" s="38">
        <f t="shared" si="131"/>
        <v>2.6515</v>
      </c>
      <c r="I132" s="38">
        <f t="shared" si="131"/>
        <v>3.0025999999999997</v>
      </c>
      <c r="J132" s="38">
        <f t="shared" si="131"/>
        <v>3.4074</v>
      </c>
      <c r="K132" s="38">
        <f t="shared" si="131"/>
        <v>3.827</v>
      </c>
      <c r="L132" s="38">
        <f t="shared" si="131"/>
        <v>3.7651999999999997</v>
      </c>
      <c r="M132" s="38">
        <f t="shared" si="131"/>
        <v>5.1017999999999999</v>
      </c>
      <c r="N132" s="38">
        <f t="shared" si="131"/>
        <v>5.1189999999999998</v>
      </c>
      <c r="O132" s="38">
        <f t="shared" si="131"/>
        <v>4.8357000000000001</v>
      </c>
      <c r="P132" s="38">
        <f t="shared" ref="P132" si="132">IF(P131="-",O133*P130*1000,P131)</f>
        <v>4.4248000000000003</v>
      </c>
      <c r="Q132" s="38">
        <f t="shared" ref="Q132" si="133">IF(Q131="-",P133*Q130*1000,Q131)</f>
        <v>4.12</v>
      </c>
      <c r="R132" s="38">
        <f t="shared" ref="R132" si="134">IF(R131="-",Q133*R130*1000,R131)</f>
        <v>3.6865999999999999</v>
      </c>
      <c r="S132" s="38">
        <f t="shared" si="131"/>
        <v>3.2103999999999999</v>
      </c>
      <c r="T132" s="38">
        <f t="shared" si="131"/>
        <v>2.7859053048297699</v>
      </c>
      <c r="U132" s="38">
        <f t="shared" si="131"/>
        <v>2.5418844022169433</v>
      </c>
      <c r="V132" s="38">
        <f t="shared" si="131"/>
        <v>2.8469105304829765</v>
      </c>
      <c r="W132" s="38">
        <f t="shared" si="131"/>
        <v>2.9892560570071254</v>
      </c>
      <c r="X132" s="38">
        <f t="shared" si="131"/>
        <v>3.0299262074425961</v>
      </c>
      <c r="Y132" s="38">
        <f t="shared" si="131"/>
        <v>2.9892560570071254</v>
      </c>
      <c r="Z132" s="38">
        <f t="shared" si="131"/>
        <v>2.8875806809184472</v>
      </c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  <c r="BD132" s="65"/>
      <c r="BE132" s="65"/>
      <c r="BF132" s="65"/>
      <c r="BG132" s="65"/>
      <c r="BH132" s="65"/>
      <c r="BI132" s="65"/>
      <c r="BJ132" s="65"/>
      <c r="BK132" s="65"/>
      <c r="BL132" s="65"/>
      <c r="BM132" s="65"/>
      <c r="BN132" s="65"/>
      <c r="BO132" s="65"/>
      <c r="BP132" s="65"/>
      <c r="BQ132" s="65"/>
      <c r="BR132" s="65"/>
      <c r="BS132" s="65"/>
      <c r="BT132" s="65"/>
      <c r="BU132" s="65"/>
      <c r="BV132" s="65"/>
    </row>
    <row r="133" spans="1:74" s="26" customFormat="1" ht="13.5" x14ac:dyDescent="0.25">
      <c r="A133" s="26" t="s">
        <v>122</v>
      </c>
      <c r="B133" s="38">
        <f>(B131/B130)/1000</f>
        <v>1.6740162210874153E-5</v>
      </c>
      <c r="C133" s="38">
        <f t="shared" ref="C133:R133" si="135">(C131/C130)/1000</f>
        <v>1.9751099937146406E-5</v>
      </c>
      <c r="D133" s="38">
        <f t="shared" si="135"/>
        <v>1.8434544957638714E-5</v>
      </c>
      <c r="E133" s="38">
        <f t="shared" si="135"/>
        <v>1.8534064212999154E-5</v>
      </c>
      <c r="F133" s="38">
        <f t="shared" si="135"/>
        <v>1.9753559409785129E-5</v>
      </c>
      <c r="G133" s="38">
        <f t="shared" si="135"/>
        <v>2.4295322376738359E-5</v>
      </c>
      <c r="H133" s="38">
        <f t="shared" si="135"/>
        <v>2.4937691041617618E-5</v>
      </c>
      <c r="I133" s="38">
        <f t="shared" si="135"/>
        <v>2.578445684843274E-5</v>
      </c>
      <c r="J133" s="38">
        <f t="shared" si="135"/>
        <v>2.1322903629536896E-5</v>
      </c>
      <c r="K133" s="38">
        <f t="shared" si="135"/>
        <v>1.3161379073166533E-5</v>
      </c>
      <c r="L133" s="38">
        <f t="shared" si="135"/>
        <v>1.1499427349774757E-5</v>
      </c>
      <c r="M133" s="38">
        <f t="shared" si="135"/>
        <v>1.4895766423357644E-5</v>
      </c>
      <c r="N133" s="38">
        <f t="shared" si="135"/>
        <v>1.4895969736650647E-5</v>
      </c>
      <c r="O133" s="38">
        <f t="shared" si="135"/>
        <v>1.5662186234817813E-5</v>
      </c>
      <c r="P133" s="38">
        <f t="shared" si="135"/>
        <v>1.6539762639005707E-5</v>
      </c>
      <c r="Q133" s="38">
        <f t="shared" si="135"/>
        <v>1.8217996904709257E-5</v>
      </c>
      <c r="R133" s="38">
        <f t="shared" si="135"/>
        <v>1.8927480426132752E-5</v>
      </c>
      <c r="S133" s="38">
        <f t="shared" ref="S133:Y133" si="136">(S132/S130)/1000</f>
        <v>2.0335075217735548E-5</v>
      </c>
      <c r="T133" s="38">
        <f t="shared" si="136"/>
        <v>2.0335075217735544E-5</v>
      </c>
      <c r="U133" s="38">
        <f t="shared" si="136"/>
        <v>2.0335075217735544E-5</v>
      </c>
      <c r="V133" s="38">
        <f t="shared" si="136"/>
        <v>2.0335075217735544E-5</v>
      </c>
      <c r="W133" s="38">
        <f t="shared" si="136"/>
        <v>2.0335075217735544E-5</v>
      </c>
      <c r="X133" s="38">
        <f t="shared" si="136"/>
        <v>2.0335075217735544E-5</v>
      </c>
      <c r="Y133" s="38">
        <f t="shared" si="136"/>
        <v>2.0335075217735544E-5</v>
      </c>
      <c r="Z133" s="38">
        <f t="shared" ref="Z133" si="137">(Z132/Z130)/1000</f>
        <v>2.0335075217735541E-5</v>
      </c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  <c r="BD133" s="65"/>
      <c r="BE133" s="65"/>
      <c r="BF133" s="65"/>
      <c r="BG133" s="65"/>
      <c r="BH133" s="65"/>
      <c r="BI133" s="65"/>
      <c r="BJ133" s="65"/>
      <c r="BK133" s="65"/>
      <c r="BL133" s="65"/>
      <c r="BM133" s="65"/>
      <c r="BN133" s="65"/>
      <c r="BO133" s="65"/>
      <c r="BP133" s="65"/>
      <c r="BQ133" s="65"/>
      <c r="BR133" s="65"/>
      <c r="BS133" s="65"/>
      <c r="BT133" s="65"/>
      <c r="BU133" s="65"/>
      <c r="BV133" s="65"/>
    </row>
    <row r="134" spans="1:74" s="31" customFormat="1" ht="13.5" x14ac:dyDescent="0.25">
      <c r="A134" s="31" t="s">
        <v>12</v>
      </c>
      <c r="B134" s="31">
        <f>'Forecast Estimates'!B5</f>
        <v>4.4825171057593884</v>
      </c>
      <c r="C134" s="31">
        <f>'Forecast Estimates'!C5</f>
        <v>4.1821097179507394</v>
      </c>
      <c r="D134" s="31">
        <f>'Forecast Estimates'!D5</f>
        <v>4.7119272671079404</v>
      </c>
      <c r="E134" s="31">
        <f>'Forecast Estimates'!E5</f>
        <v>4.8338864143944074</v>
      </c>
      <c r="F134" s="31">
        <f>'Forecast Estimates'!F5</f>
        <v>4.7267699385752389</v>
      </c>
      <c r="G134" s="31">
        <f>'Forecast Estimates'!G5</f>
        <v>4.626347011127101</v>
      </c>
      <c r="H134" s="31">
        <f>'Forecast Estimates'!H5</f>
        <v>4.7540268944009121</v>
      </c>
      <c r="I134" s="31">
        <f>'Forecast Estimates'!I5</f>
        <v>4.9801095046625026</v>
      </c>
      <c r="J134" s="31">
        <f>'Forecast Estimates'!J5</f>
        <v>6.7746311683907061</v>
      </c>
      <c r="K134" s="31">
        <f>'Forecast Estimates'!K5</f>
        <v>12.608822923555621</v>
      </c>
      <c r="L134" s="31">
        <f>'Forecast Estimates'!L5</f>
        <v>14.532845095428318</v>
      </c>
      <c r="M134" s="31">
        <f>'Forecast Estimates'!M5</f>
        <v>15.352032183238268</v>
      </c>
      <c r="N134" s="31">
        <f>'Forecast Estimates'!N5</f>
        <v>15.451193741288611</v>
      </c>
      <c r="O134" s="31">
        <f>'Forecast Estimates'!O5</f>
        <v>13.733542563965589</v>
      </c>
      <c r="P134" s="31">
        <f>'Forecast Estimates'!P5</f>
        <v>11.856669584390547</v>
      </c>
      <c r="Q134" s="31">
        <f>'Forecast Estimates'!Q5</f>
        <v>9.90661572315339</v>
      </c>
      <c r="R134" s="31">
        <f>'Forecast Estimates'!R5</f>
        <v>8.3740667132191007</v>
      </c>
      <c r="S134" s="31">
        <f>'Forecast Estimates'!S5</f>
        <v>6.7113095238095237</v>
      </c>
      <c r="T134" s="31">
        <f>'Forecast Estimates'!T5</f>
        <v>5.7410674210081316</v>
      </c>
      <c r="U134" s="31">
        <f>'Forecast Estimates'!U5</f>
        <v>5.1606635345380019</v>
      </c>
      <c r="V134" s="31">
        <f>'Forecast Estimates'!V5</f>
        <v>5.6867108111095392</v>
      </c>
      <c r="W134" s="31">
        <f>'Forecast Estimates'!W5</f>
        <v>5.9218978985239126</v>
      </c>
      <c r="X134" s="31">
        <f>'Forecast Estimates'!X5</f>
        <v>5.8912905514657092</v>
      </c>
      <c r="Y134" s="31">
        <f>'Forecast Estimates'!Y5</f>
        <v>5.7453702766070993</v>
      </c>
      <c r="Z134" s="31">
        <f>'Forecast Estimates'!Z5</f>
        <v>5.4567465983808727</v>
      </c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76"/>
      <c r="BL134" s="76"/>
      <c r="BM134" s="76"/>
      <c r="BN134" s="76"/>
      <c r="BO134" s="76"/>
      <c r="BP134" s="76"/>
      <c r="BQ134" s="76"/>
      <c r="BR134" s="76"/>
      <c r="BS134" s="76"/>
      <c r="BT134" s="76"/>
      <c r="BU134" s="76"/>
      <c r="BV134" s="76"/>
    </row>
    <row r="135" spans="1:74" s="26" customFormat="1" ht="13.5" x14ac:dyDescent="0.25">
      <c r="A135" s="26" t="s">
        <v>123</v>
      </c>
      <c r="B135" s="26">
        <f>'Forecast Estimates'!B15</f>
        <v>5.5</v>
      </c>
      <c r="C135" s="26">
        <f>'Forecast Estimates'!C15</f>
        <v>5.5</v>
      </c>
      <c r="D135" s="26">
        <f>'Forecast Estimates'!D15</f>
        <v>5.5</v>
      </c>
      <c r="E135" s="26">
        <f>'Forecast Estimates'!E15</f>
        <v>5.5</v>
      </c>
      <c r="F135" s="26">
        <f>'Forecast Estimates'!F15</f>
        <v>5.5</v>
      </c>
      <c r="G135" s="26">
        <f>'Forecast Estimates'!G15</f>
        <v>5.5</v>
      </c>
      <c r="H135" s="26">
        <f>'Forecast Estimates'!H15</f>
        <v>5.5</v>
      </c>
      <c r="I135" s="26">
        <f>'Forecast Estimates'!I15</f>
        <v>5.5</v>
      </c>
      <c r="J135" s="26">
        <f>'Forecast Estimates'!J15</f>
        <v>5.5</v>
      </c>
      <c r="K135" s="26">
        <f>'Forecast Estimates'!K15</f>
        <v>5.5</v>
      </c>
      <c r="L135" s="26">
        <f>'Forecast Estimates'!L15</f>
        <v>5.5</v>
      </c>
      <c r="M135" s="26">
        <f>'Forecast Estimates'!M15</f>
        <v>5.5</v>
      </c>
      <c r="N135" s="26">
        <f>'Forecast Estimates'!N15</f>
        <v>5.5</v>
      </c>
      <c r="O135" s="26">
        <f>'Forecast Estimates'!O15</f>
        <v>5.5</v>
      </c>
      <c r="P135" s="26">
        <f>'Forecast Estimates'!P15</f>
        <v>5.5</v>
      </c>
      <c r="Q135" s="26">
        <f>'Forecast Estimates'!Q15</f>
        <v>5.5</v>
      </c>
      <c r="R135" s="26">
        <f>'Forecast Estimates'!R15</f>
        <v>5.5</v>
      </c>
      <c r="S135" s="26">
        <f>'Forecast Estimates'!S15</f>
        <v>5.5</v>
      </c>
      <c r="T135" s="26">
        <f>'Forecast Estimates'!T15</f>
        <v>5.5</v>
      </c>
      <c r="U135" s="26">
        <f>'Forecast Estimates'!U15</f>
        <v>5.5</v>
      </c>
      <c r="V135" s="26">
        <f>'Forecast Estimates'!V15</f>
        <v>5.5</v>
      </c>
      <c r="W135" s="26">
        <f>'Forecast Estimates'!W15</f>
        <v>5.5</v>
      </c>
      <c r="X135" s="26">
        <f>'Forecast Estimates'!X15</f>
        <v>5.5</v>
      </c>
      <c r="Y135" s="26">
        <f>'Forecast Estimates'!Y15</f>
        <v>5.5</v>
      </c>
      <c r="Z135" s="26">
        <f>'Forecast Estimates'!Z15</f>
        <v>5.5</v>
      </c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  <c r="BD135" s="65"/>
      <c r="BE135" s="65"/>
      <c r="BF135" s="65"/>
      <c r="BG135" s="65"/>
      <c r="BH135" s="65"/>
      <c r="BI135" s="65"/>
      <c r="BJ135" s="65"/>
      <c r="BK135" s="65"/>
      <c r="BL135" s="65"/>
      <c r="BM135" s="65"/>
      <c r="BN135" s="65"/>
      <c r="BO135" s="65"/>
      <c r="BP135" s="65"/>
      <c r="BQ135" s="65"/>
      <c r="BR135" s="65"/>
      <c r="BS135" s="65"/>
      <c r="BT135" s="65"/>
      <c r="BU135" s="65"/>
      <c r="BV135" s="65"/>
    </row>
    <row r="136" spans="1:74" s="26" customFormat="1" ht="13.5" x14ac:dyDescent="0.25">
      <c r="A136" s="77" t="s">
        <v>124</v>
      </c>
      <c r="B136" s="26">
        <f t="shared" ref="B136:Z136" si="138">B132*(B134-B135)/B134*1000</f>
        <v>-316.24132932692288</v>
      </c>
      <c r="C136" s="26">
        <f t="shared" si="138"/>
        <v>-495.12551099937173</v>
      </c>
      <c r="D136" s="26">
        <f t="shared" si="138"/>
        <v>-282.03471194315381</v>
      </c>
      <c r="E136" s="26">
        <f t="shared" si="138"/>
        <v>-244.6102627251372</v>
      </c>
      <c r="F136" s="26">
        <f t="shared" si="138"/>
        <v>-312.07166994563823</v>
      </c>
      <c r="G136" s="26">
        <f t="shared" si="138"/>
        <v>-453.63851972685927</v>
      </c>
      <c r="H136" s="26">
        <f t="shared" si="138"/>
        <v>-416.05732012696922</v>
      </c>
      <c r="I136" s="26">
        <f t="shared" si="138"/>
        <v>-313.45158170496063</v>
      </c>
      <c r="J136" s="26">
        <f t="shared" si="138"/>
        <v>641.09442052565669</v>
      </c>
      <c r="K136" s="26">
        <f t="shared" si="138"/>
        <v>2157.6530571797075</v>
      </c>
      <c r="L136" s="26">
        <f t="shared" si="138"/>
        <v>2340.2484599526606</v>
      </c>
      <c r="M136" s="26">
        <f t="shared" si="138"/>
        <v>3274.0354627007291</v>
      </c>
      <c r="N136" s="26">
        <f t="shared" si="138"/>
        <v>3296.8430539793394</v>
      </c>
      <c r="O136" s="26">
        <f t="shared" si="138"/>
        <v>2899.1020773500809</v>
      </c>
      <c r="P136" s="26">
        <f t="shared" si="138"/>
        <v>2372.2506034950002</v>
      </c>
      <c r="Q136" s="26">
        <f t="shared" si="138"/>
        <v>1832.6396507901427</v>
      </c>
      <c r="R136" s="26">
        <f t="shared" si="138"/>
        <v>1265.2794284797949</v>
      </c>
      <c r="S136" s="26">
        <f t="shared" si="138"/>
        <v>579.43804878048775</v>
      </c>
      <c r="T136" s="26">
        <f t="shared" si="138"/>
        <v>116.98016374980212</v>
      </c>
      <c r="U136" s="26">
        <f t="shared" si="138"/>
        <v>-167.14014833336736</v>
      </c>
      <c r="V136" s="26">
        <f t="shared" si="138"/>
        <v>93.472130368284752</v>
      </c>
      <c r="W136" s="26">
        <f t="shared" si="138"/>
        <v>212.96565226420725</v>
      </c>
      <c r="X136" s="26">
        <f t="shared" si="138"/>
        <v>201.24308693545163</v>
      </c>
      <c r="Y136" s="26">
        <f t="shared" si="138"/>
        <v>127.66358828841842</v>
      </c>
      <c r="Z136" s="26">
        <f t="shared" si="138"/>
        <v>-22.888672700406918</v>
      </c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  <c r="BD136" s="65"/>
      <c r="BE136" s="65"/>
      <c r="BF136" s="65"/>
      <c r="BG136" s="65"/>
      <c r="BH136" s="65"/>
      <c r="BI136" s="65"/>
      <c r="BJ136" s="65"/>
      <c r="BK136" s="65"/>
      <c r="BL136" s="65"/>
      <c r="BM136" s="65"/>
      <c r="BN136" s="65"/>
      <c r="BO136" s="65"/>
      <c r="BP136" s="65"/>
      <c r="BQ136" s="65"/>
      <c r="BR136" s="65"/>
      <c r="BS136" s="65"/>
      <c r="BT136" s="65"/>
      <c r="BU136" s="65"/>
      <c r="BV136" s="65"/>
    </row>
    <row r="137" spans="1:74" s="26" customFormat="1" ht="13.5" x14ac:dyDescent="0.25"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  <c r="BD137" s="65"/>
      <c r="BE137" s="65"/>
      <c r="BF137" s="65"/>
      <c r="BG137" s="65"/>
      <c r="BH137" s="65"/>
      <c r="BI137" s="65"/>
      <c r="BJ137" s="65"/>
      <c r="BK137" s="65"/>
      <c r="BL137" s="65"/>
      <c r="BM137" s="65"/>
      <c r="BN137" s="65"/>
      <c r="BO137" s="65"/>
      <c r="BP137" s="65"/>
      <c r="BQ137" s="65"/>
      <c r="BR137" s="65"/>
      <c r="BS137" s="65"/>
      <c r="BT137" s="65"/>
      <c r="BU137" s="65"/>
      <c r="BV137" s="65"/>
    </row>
    <row r="138" spans="1:74" s="26" customFormat="1" ht="13.5" x14ac:dyDescent="0.25">
      <c r="A138" s="26" t="s">
        <v>125</v>
      </c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  <c r="BD138" s="65"/>
      <c r="BE138" s="65"/>
      <c r="BF138" s="65"/>
      <c r="BG138" s="65"/>
      <c r="BH138" s="65"/>
      <c r="BI138" s="65"/>
      <c r="BJ138" s="65"/>
      <c r="BK138" s="65"/>
      <c r="BL138" s="65"/>
      <c r="BM138" s="65"/>
      <c r="BN138" s="65"/>
      <c r="BO138" s="65"/>
      <c r="BP138" s="65"/>
      <c r="BQ138" s="65"/>
      <c r="BR138" s="65"/>
      <c r="BS138" s="65"/>
      <c r="BT138" s="65"/>
      <c r="BU138" s="65"/>
      <c r="BV138" s="65"/>
    </row>
    <row r="139" spans="1:74" s="26" customFormat="1" ht="13.5" x14ac:dyDescent="0.25"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  <c r="BO139" s="65"/>
      <c r="BP139" s="65"/>
      <c r="BQ139" s="65"/>
      <c r="BR139" s="65"/>
      <c r="BS139" s="65"/>
      <c r="BT139" s="65"/>
      <c r="BU139" s="65"/>
      <c r="BV139" s="65"/>
    </row>
    <row r="140" spans="1:74" s="26" customFormat="1" ht="13.5" x14ac:dyDescent="0.25">
      <c r="A140" s="26" t="s">
        <v>126</v>
      </c>
      <c r="B140" s="31">
        <v>0.28579166666666661</v>
      </c>
      <c r="C140" s="31">
        <v>0.30083333333333334</v>
      </c>
      <c r="D140" s="31">
        <v>0.31666666666666665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  <c r="BD140" s="65"/>
      <c r="BE140" s="65"/>
      <c r="BF140" s="65"/>
      <c r="BG140" s="65"/>
      <c r="BH140" s="65"/>
      <c r="BI140" s="65"/>
      <c r="BJ140" s="65"/>
      <c r="BK140" s="65"/>
      <c r="BL140" s="65"/>
      <c r="BM140" s="65"/>
      <c r="BN140" s="65"/>
      <c r="BO140" s="65"/>
      <c r="BP140" s="65"/>
      <c r="BQ140" s="65"/>
      <c r="BR140" s="65"/>
      <c r="BS140" s="65"/>
      <c r="BT140" s="65"/>
      <c r="BU140" s="65"/>
      <c r="BV140" s="65"/>
    </row>
    <row r="141" spans="1:74" s="26" customFormat="1" ht="13.5" x14ac:dyDescent="0.25">
      <c r="A141" s="26" t="s">
        <v>127</v>
      </c>
      <c r="B141" s="31">
        <f>(B65/B66)/(C65/C66)*C141</f>
        <v>82.525835255364953</v>
      </c>
      <c r="C141" s="31">
        <f>(C65/C66)/(D65/D66)*D141</f>
        <v>88.209304870316274</v>
      </c>
      <c r="D141" s="31">
        <f>(D65/D66)/(E65/E66)*E141</f>
        <v>92.839561833907865</v>
      </c>
      <c r="E141" s="31">
        <f>(E65/E66)/(F65/F66)*F141</f>
        <v>96.478928669919114</v>
      </c>
      <c r="F141" s="31">
        <f>(F65/F66)/(G65/G66)*G141</f>
        <v>96.978005426612242</v>
      </c>
      <c r="G141" s="31">
        <v>100</v>
      </c>
      <c r="H141" s="31">
        <f t="shared" ref="H141:Z141" si="139">(H65/H66)/(G65/G66)*G141</f>
        <v>103.45462805376617</v>
      </c>
      <c r="I141" s="31">
        <f t="shared" si="139"/>
        <v>104.70676065712476</v>
      </c>
      <c r="J141" s="31">
        <f t="shared" si="139"/>
        <v>104.37487738111454</v>
      </c>
      <c r="K141" s="31">
        <f t="shared" si="139"/>
        <v>99.613370475104915</v>
      </c>
      <c r="L141" s="31">
        <f t="shared" si="139"/>
        <v>96.47967981848528</v>
      </c>
      <c r="M141" s="31">
        <f t="shared" si="139"/>
        <v>97.923703689826013</v>
      </c>
      <c r="N141" s="31">
        <f t="shared" si="139"/>
        <v>100.15591258147634</v>
      </c>
      <c r="O141" s="31">
        <f t="shared" si="139"/>
        <v>101.38506401945459</v>
      </c>
      <c r="P141" s="31">
        <f t="shared" si="139"/>
        <v>101.27274683879516</v>
      </c>
      <c r="Q141" s="31">
        <f t="shared" si="139"/>
        <v>109.16154642367299</v>
      </c>
      <c r="R141" s="31">
        <f t="shared" si="139"/>
        <v>108.83461758678681</v>
      </c>
      <c r="S141" s="31">
        <f t="shared" si="139"/>
        <v>110.06363588288175</v>
      </c>
      <c r="T141" s="31">
        <f t="shared" si="139"/>
        <v>110.96494914288232</v>
      </c>
      <c r="U141" s="31">
        <f t="shared" si="139"/>
        <v>111.44308000328934</v>
      </c>
      <c r="V141" s="31">
        <f t="shared" si="139"/>
        <v>113.27737841119371</v>
      </c>
      <c r="W141" s="31">
        <f t="shared" si="139"/>
        <v>114.90561513764189</v>
      </c>
      <c r="X141" s="31">
        <f t="shared" si="139"/>
        <v>116.49121733503972</v>
      </c>
      <c r="Y141" s="31">
        <f t="shared" si="139"/>
        <v>118.10742522878495</v>
      </c>
      <c r="Z141" s="31">
        <f t="shared" si="139"/>
        <v>119.72904743308933</v>
      </c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  <c r="BD141" s="65"/>
      <c r="BE141" s="65"/>
      <c r="BF141" s="65"/>
      <c r="BG141" s="65"/>
      <c r="BH141" s="65"/>
      <c r="BI141" s="65"/>
      <c r="BJ141" s="65"/>
      <c r="BK141" s="65"/>
      <c r="BL141" s="65"/>
      <c r="BM141" s="65"/>
      <c r="BN141" s="65"/>
      <c r="BO141" s="65"/>
      <c r="BP141" s="65"/>
      <c r="BQ141" s="65"/>
      <c r="BR141" s="65"/>
      <c r="BS141" s="65"/>
      <c r="BT141" s="65"/>
      <c r="BU141" s="65"/>
      <c r="BV141" s="65"/>
    </row>
    <row r="142" spans="1:74" s="26" customFormat="1" ht="13.5" x14ac:dyDescent="0.25">
      <c r="A142" s="26" t="s">
        <v>79</v>
      </c>
      <c r="B142" s="31">
        <f t="shared" ref="B142:Z142" si="140">B67</f>
        <v>138615.65000000002</v>
      </c>
      <c r="C142" s="31">
        <f t="shared" si="140"/>
        <v>146530.70000000001</v>
      </c>
      <c r="D142" s="31">
        <f t="shared" si="140"/>
        <v>154124.29999999999</v>
      </c>
      <c r="E142" s="31">
        <f t="shared" si="140"/>
        <v>162138.54999999999</v>
      </c>
      <c r="F142" s="31">
        <f t="shared" si="140"/>
        <v>170525.25</v>
      </c>
      <c r="G142" s="31">
        <f t="shared" si="140"/>
        <v>178049.55</v>
      </c>
      <c r="H142" s="31">
        <f t="shared" si="140"/>
        <v>184545.15000000002</v>
      </c>
      <c r="I142" s="31">
        <f t="shared" si="140"/>
        <v>189212.5</v>
      </c>
      <c r="J142" s="31">
        <f t="shared" si="140"/>
        <v>192280.8</v>
      </c>
      <c r="K142" s="31">
        <f t="shared" si="140"/>
        <v>197168.95</v>
      </c>
      <c r="L142" s="31">
        <f t="shared" si="140"/>
        <v>203505.50000000003</v>
      </c>
      <c r="M142" s="31">
        <f t="shared" si="140"/>
        <v>207516.7</v>
      </c>
      <c r="N142" s="31">
        <f t="shared" si="140"/>
        <v>209513.10000000003</v>
      </c>
      <c r="O142" s="31">
        <f t="shared" si="140"/>
        <v>213424.40000000002</v>
      </c>
      <c r="P142" s="31">
        <f t="shared" si="140"/>
        <v>221977.95</v>
      </c>
      <c r="Q142" s="31">
        <f t="shared" si="140"/>
        <v>273962.2</v>
      </c>
      <c r="R142" s="31">
        <f t="shared" si="140"/>
        <v>281654.30000000005</v>
      </c>
      <c r="S142" s="31">
        <f t="shared" si="140"/>
        <v>305074.39999999997</v>
      </c>
      <c r="T142" s="31">
        <f t="shared" si="140"/>
        <v>322193.19999999995</v>
      </c>
      <c r="U142" s="31">
        <f t="shared" si="140"/>
        <v>335659.25</v>
      </c>
      <c r="V142" s="31">
        <f t="shared" si="140"/>
        <v>342548.5</v>
      </c>
      <c r="W142" s="31">
        <f t="shared" si="140"/>
        <v>348008.29999999993</v>
      </c>
      <c r="X142" s="31">
        <f t="shared" si="140"/>
        <v>355286.29999999993</v>
      </c>
      <c r="Y142" s="31">
        <f t="shared" si="140"/>
        <v>362630.70000000007</v>
      </c>
      <c r="Z142" s="31">
        <f t="shared" si="140"/>
        <v>371373.20000000007</v>
      </c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  <c r="BD142" s="65"/>
      <c r="BE142" s="65"/>
      <c r="BF142" s="65"/>
      <c r="BG142" s="65"/>
      <c r="BH142" s="65"/>
      <c r="BI142" s="65"/>
      <c r="BJ142" s="65"/>
      <c r="BK142" s="65"/>
      <c r="BL142" s="65"/>
      <c r="BM142" s="65"/>
      <c r="BN142" s="65"/>
      <c r="BO142" s="65"/>
      <c r="BP142" s="65"/>
      <c r="BQ142" s="65"/>
      <c r="BR142" s="65"/>
      <c r="BS142" s="65"/>
      <c r="BT142" s="65"/>
      <c r="BU142" s="65"/>
      <c r="BV142" s="65"/>
    </row>
    <row r="143" spans="1:74" s="26" customFormat="1" ht="13.5" x14ac:dyDescent="0.25">
      <c r="A143" s="26" t="s">
        <v>8</v>
      </c>
      <c r="B143" s="38">
        <f t="shared" ref="B143:Z143" si="141">B65</f>
        <v>108380</v>
      </c>
      <c r="C143" s="38">
        <f t="shared" si="141"/>
        <v>121959</v>
      </c>
      <c r="D143" s="38">
        <f t="shared" si="141"/>
        <v>135960</v>
      </c>
      <c r="E143" s="38">
        <f t="shared" si="141"/>
        <v>145556</v>
      </c>
      <c r="F143" s="38">
        <f t="shared" si="141"/>
        <v>156143</v>
      </c>
      <c r="G143" s="38">
        <f t="shared" si="141"/>
        <v>170187</v>
      </c>
      <c r="H143" s="38">
        <f t="shared" si="141"/>
        <v>184994</v>
      </c>
      <c r="I143" s="38">
        <f t="shared" si="141"/>
        <v>197202</v>
      </c>
      <c r="J143" s="38">
        <f t="shared" si="141"/>
        <v>187769</v>
      </c>
      <c r="K143" s="38">
        <f t="shared" si="141"/>
        <v>170101</v>
      </c>
      <c r="L143" s="38">
        <f t="shared" si="141"/>
        <v>167732</v>
      </c>
      <c r="M143" s="38">
        <f t="shared" si="141"/>
        <v>170827</v>
      </c>
      <c r="N143" s="38">
        <f t="shared" si="141"/>
        <v>175116</v>
      </c>
      <c r="O143" s="38">
        <f t="shared" si="141"/>
        <v>179661</v>
      </c>
      <c r="P143" s="38">
        <f t="shared" si="141"/>
        <v>194818</v>
      </c>
      <c r="Q143" s="38">
        <f t="shared" si="141"/>
        <v>262833</v>
      </c>
      <c r="R143" s="38">
        <f t="shared" si="141"/>
        <v>271684</v>
      </c>
      <c r="S143" s="38">
        <f t="shared" si="141"/>
        <v>297131</v>
      </c>
      <c r="T143" s="38">
        <f t="shared" si="141"/>
        <v>324038</v>
      </c>
      <c r="U143" s="38">
        <f t="shared" si="141"/>
        <v>343200.07888284227</v>
      </c>
      <c r="V143" s="38">
        <f t="shared" si="141"/>
        <v>351359.37061311456</v>
      </c>
      <c r="W143" s="38">
        <f t="shared" si="141"/>
        <v>365215.22191567003</v>
      </c>
      <c r="X143" s="38">
        <f t="shared" si="141"/>
        <v>380737.37684917293</v>
      </c>
      <c r="Y143" s="38">
        <f t="shared" si="141"/>
        <v>396463.81927564717</v>
      </c>
      <c r="Z143" s="38">
        <f t="shared" si="141"/>
        <v>412548.75918767881</v>
      </c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  <c r="BD143" s="65"/>
      <c r="BE143" s="65"/>
      <c r="BF143" s="65"/>
      <c r="BG143" s="65"/>
      <c r="BH143" s="65"/>
      <c r="BI143" s="65"/>
      <c r="BJ143" s="65"/>
      <c r="BK143" s="65"/>
      <c r="BL143" s="65"/>
      <c r="BM143" s="65"/>
      <c r="BN143" s="65"/>
      <c r="BO143" s="65"/>
      <c r="BP143" s="65"/>
      <c r="BQ143" s="65"/>
      <c r="BR143" s="65"/>
      <c r="BS143" s="65"/>
      <c r="BT143" s="65"/>
      <c r="BU143" s="65"/>
      <c r="BV143" s="65"/>
    </row>
    <row r="144" spans="1:74" s="26" customFormat="1" ht="13.5" x14ac:dyDescent="0.25">
      <c r="A144" s="26" t="s">
        <v>128</v>
      </c>
      <c r="B144" s="78">
        <f t="shared" ref="B144:Z144" si="142">0.588*B43/100*B143</f>
        <v>2725.9912720404004</v>
      </c>
      <c r="C144" s="78">
        <f t="shared" si="142"/>
        <v>2762.6457797026196</v>
      </c>
      <c r="D144" s="78">
        <f t="shared" si="142"/>
        <v>3662.9037793656003</v>
      </c>
      <c r="E144" s="78">
        <f t="shared" si="142"/>
        <v>2066.5524359978399</v>
      </c>
      <c r="F144" s="78">
        <f t="shared" si="142"/>
        <v>3600.37369016598</v>
      </c>
      <c r="G144" s="78">
        <f t="shared" si="142"/>
        <v>5207.091626531339</v>
      </c>
      <c r="H144" s="78">
        <f t="shared" si="142"/>
        <v>7231.1052472612791</v>
      </c>
      <c r="I144" s="78">
        <f t="shared" si="142"/>
        <v>11079.110690386198</v>
      </c>
      <c r="J144" s="78">
        <f t="shared" si="142"/>
        <v>3289.9774878301796</v>
      </c>
      <c r="K144" s="78">
        <f t="shared" si="142"/>
        <v>-4657.7093616442198</v>
      </c>
      <c r="L144" s="78">
        <f t="shared" si="142"/>
        <v>-5844.6344520093598</v>
      </c>
      <c r="M144" s="78">
        <f t="shared" si="142"/>
        <v>-7459.8285127506006</v>
      </c>
      <c r="N144" s="78">
        <f t="shared" si="142"/>
        <v>-8367.2660856203984</v>
      </c>
      <c r="O144" s="78">
        <f t="shared" si="142"/>
        <v>-9092.1003678817196</v>
      </c>
      <c r="P144" s="78">
        <f t="shared" si="142"/>
        <v>-5286.8235431465991</v>
      </c>
      <c r="Q144" s="78">
        <f t="shared" si="142"/>
        <v>-5042.4223563264595</v>
      </c>
      <c r="R144" s="78">
        <f t="shared" si="142"/>
        <v>-3841.0248301874399</v>
      </c>
      <c r="S144" s="78">
        <f t="shared" si="142"/>
        <v>-4428.9883632771007</v>
      </c>
      <c r="T144" s="78">
        <f t="shared" si="142"/>
        <v>-336.06542861892012</v>
      </c>
      <c r="U144" s="78">
        <f t="shared" si="142"/>
        <v>2089.990030021881</v>
      </c>
      <c r="V144" s="78">
        <f t="shared" si="142"/>
        <v>-610.00822146095049</v>
      </c>
      <c r="W144" s="78">
        <f t="shared" si="142"/>
        <v>1174.8085850822629</v>
      </c>
      <c r="X144" s="78">
        <f t="shared" si="142"/>
        <v>2833.1145275280146</v>
      </c>
      <c r="Y144" s="78">
        <f t="shared" si="142"/>
        <v>4405.6949778814687</v>
      </c>
      <c r="Z144" s="78">
        <f t="shared" si="142"/>
        <v>5134.6809098069307</v>
      </c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  <c r="BD144" s="65"/>
      <c r="BE144" s="65"/>
      <c r="BF144" s="65"/>
      <c r="BG144" s="65"/>
      <c r="BH144" s="65"/>
      <c r="BI144" s="65"/>
      <c r="BJ144" s="65"/>
      <c r="BK144" s="65"/>
      <c r="BL144" s="65"/>
      <c r="BM144" s="65"/>
      <c r="BN144" s="65"/>
      <c r="BO144" s="65"/>
      <c r="BP144" s="65"/>
      <c r="BQ144" s="65"/>
      <c r="BR144" s="65"/>
      <c r="BS144" s="65"/>
      <c r="BT144" s="65"/>
      <c r="BU144" s="65"/>
      <c r="BV144" s="65"/>
    </row>
    <row r="145" spans="1:74" s="26" customFormat="1" ht="13.5" x14ac:dyDescent="0.25">
      <c r="A145" s="26" t="s">
        <v>129</v>
      </c>
      <c r="B145" s="38">
        <f t="shared" ref="B145:Z145" si="143">B63/B65*100</f>
        <v>36.073076213323489</v>
      </c>
      <c r="C145" s="38">
        <f t="shared" si="143"/>
        <v>33.23903934928952</v>
      </c>
      <c r="D145" s="31">
        <f t="shared" si="143"/>
        <v>30.551632833186233</v>
      </c>
      <c r="E145" s="31">
        <f t="shared" si="143"/>
        <v>29.926626178240678</v>
      </c>
      <c r="F145" s="31">
        <f t="shared" si="143"/>
        <v>28.215161742761442</v>
      </c>
      <c r="G145" s="31">
        <f t="shared" si="143"/>
        <v>26.076609846815561</v>
      </c>
      <c r="H145" s="31">
        <f t="shared" si="143"/>
        <v>23.618063288539087</v>
      </c>
      <c r="I145" s="31">
        <f t="shared" si="143"/>
        <v>23.908479630024036</v>
      </c>
      <c r="J145" s="31">
        <f t="shared" si="143"/>
        <v>42.403698161038292</v>
      </c>
      <c r="K145" s="31">
        <f t="shared" si="143"/>
        <v>61.543435958636337</v>
      </c>
      <c r="L145" s="31">
        <f t="shared" si="143"/>
        <v>85.988362387618338</v>
      </c>
      <c r="M145" s="31">
        <f t="shared" si="143"/>
        <v>111.06382480521229</v>
      </c>
      <c r="N145" s="31">
        <f t="shared" si="143"/>
        <v>119.94106763516754</v>
      </c>
      <c r="O145" s="31">
        <f t="shared" si="143"/>
        <v>119.86574715714595</v>
      </c>
      <c r="P145" s="31">
        <f t="shared" si="143"/>
        <v>104.39384451128745</v>
      </c>
      <c r="Q145" s="31">
        <f t="shared" si="143"/>
        <v>76.723242515209279</v>
      </c>
      <c r="R145" s="31">
        <f t="shared" si="143"/>
        <v>73.875899942580347</v>
      </c>
      <c r="S145" s="31">
        <f t="shared" si="143"/>
        <v>67.769098478448896</v>
      </c>
      <c r="T145" s="31">
        <f t="shared" si="143"/>
        <v>63.566001518340443</v>
      </c>
      <c r="U145" s="31">
        <f t="shared" si="143"/>
        <v>59.32399568867892</v>
      </c>
      <c r="V145" s="31">
        <f t="shared" si="143"/>
        <v>56.494864404390796</v>
      </c>
      <c r="W145" s="31">
        <f t="shared" si="143"/>
        <v>56.350334720582985</v>
      </c>
      <c r="X145" s="31">
        <f t="shared" si="143"/>
        <v>54.394449453288516</v>
      </c>
      <c r="Y145" s="31">
        <f t="shared" si="143"/>
        <v>53.775398821895934</v>
      </c>
      <c r="Z145" s="31">
        <f t="shared" si="143"/>
        <v>52.963436474814088</v>
      </c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  <c r="BD145" s="65"/>
      <c r="BE145" s="65"/>
      <c r="BF145" s="65"/>
      <c r="BG145" s="65"/>
      <c r="BH145" s="65"/>
      <c r="BI145" s="65"/>
      <c r="BJ145" s="65"/>
      <c r="BK145" s="65"/>
      <c r="BL145" s="65"/>
      <c r="BM145" s="65"/>
      <c r="BN145" s="65"/>
      <c r="BO145" s="65"/>
      <c r="BP145" s="65"/>
      <c r="BQ145" s="65"/>
      <c r="BR145" s="65"/>
      <c r="BS145" s="65"/>
      <c r="BT145" s="65"/>
      <c r="BU145" s="65"/>
      <c r="BV145" s="65"/>
    </row>
    <row r="146" spans="1:74" s="26" customFormat="1" ht="13.5" x14ac:dyDescent="0.25">
      <c r="A146" s="26" t="s">
        <v>130</v>
      </c>
      <c r="B146" s="38" t="str">
        <f t="shared" ref="B146:V146" si="144">IF(B145&gt;60,B145-60,"-")</f>
        <v>-</v>
      </c>
      <c r="C146" s="38" t="str">
        <f t="shared" si="144"/>
        <v>-</v>
      </c>
      <c r="D146" s="31" t="str">
        <f t="shared" si="144"/>
        <v>-</v>
      </c>
      <c r="E146" s="31" t="str">
        <f t="shared" si="144"/>
        <v>-</v>
      </c>
      <c r="F146" s="31" t="str">
        <f t="shared" si="144"/>
        <v>-</v>
      </c>
      <c r="G146" s="31" t="str">
        <f t="shared" si="144"/>
        <v>-</v>
      </c>
      <c r="H146" s="31" t="str">
        <f t="shared" si="144"/>
        <v>-</v>
      </c>
      <c r="I146" s="31" t="str">
        <f t="shared" si="144"/>
        <v>-</v>
      </c>
      <c r="J146" s="31" t="str">
        <f t="shared" si="144"/>
        <v>-</v>
      </c>
      <c r="K146" s="31">
        <f t="shared" si="144"/>
        <v>1.5434359586363371</v>
      </c>
      <c r="L146" s="31">
        <f t="shared" si="144"/>
        <v>25.988362387618338</v>
      </c>
      <c r="M146" s="31">
        <f t="shared" si="144"/>
        <v>51.063824805212292</v>
      </c>
      <c r="N146" s="31">
        <f t="shared" si="144"/>
        <v>59.941067635167542</v>
      </c>
      <c r="O146" s="31">
        <f t="shared" si="144"/>
        <v>59.865747157145947</v>
      </c>
      <c r="P146" s="31">
        <f t="shared" si="144"/>
        <v>44.393844511287455</v>
      </c>
      <c r="Q146" s="31">
        <f t="shared" si="144"/>
        <v>16.723242515209279</v>
      </c>
      <c r="R146" s="31">
        <f t="shared" si="144"/>
        <v>13.875899942580347</v>
      </c>
      <c r="S146" s="31">
        <f t="shared" si="144"/>
        <v>7.7690984784488961</v>
      </c>
      <c r="T146" s="31">
        <f t="shared" si="144"/>
        <v>3.5660015183404425</v>
      </c>
      <c r="U146" s="31" t="str">
        <f t="shared" si="144"/>
        <v>-</v>
      </c>
      <c r="V146" s="31" t="str">
        <f t="shared" si="144"/>
        <v>-</v>
      </c>
      <c r="W146" s="31" t="str">
        <f>IF(W145&gt;60,W145-60,"-")</f>
        <v>-</v>
      </c>
      <c r="X146" s="31" t="str">
        <f>IF(X145&gt;60,X145-60,"-")</f>
        <v>-</v>
      </c>
      <c r="Y146" s="31" t="str">
        <f>IF(Y145&gt;60,Y145-60,"-")</f>
        <v>-</v>
      </c>
      <c r="Z146" s="31" t="str">
        <f>IF(Z145&gt;60,Z145-60,"-")</f>
        <v>-</v>
      </c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  <c r="BD146" s="65"/>
      <c r="BE146" s="65"/>
      <c r="BF146" s="65"/>
      <c r="BG146" s="65"/>
      <c r="BH146" s="65"/>
      <c r="BI146" s="65"/>
      <c r="BJ146" s="65"/>
      <c r="BK146" s="65"/>
      <c r="BL146" s="65"/>
      <c r="BM146" s="65"/>
      <c r="BN146" s="65"/>
      <c r="BO146" s="65"/>
      <c r="BP146" s="65"/>
      <c r="BQ146" s="65"/>
      <c r="BR146" s="65"/>
      <c r="BS146" s="65"/>
      <c r="BT146" s="65"/>
      <c r="BU146" s="65"/>
      <c r="BV146" s="65"/>
    </row>
    <row r="147" spans="1:74" s="26" customFormat="1" ht="13.5" x14ac:dyDescent="0.25">
      <c r="A147" s="26" t="s">
        <v>131</v>
      </c>
      <c r="B147" s="38"/>
      <c r="C147" s="38"/>
      <c r="D147" s="38">
        <f t="shared" ref="D147:L147" si="145">SUM(B144:D144)</f>
        <v>9151.5408311086212</v>
      </c>
      <c r="E147" s="38">
        <f t="shared" si="145"/>
        <v>8492.1019950660593</v>
      </c>
      <c r="F147" s="38">
        <f t="shared" si="145"/>
        <v>9329.8299055294192</v>
      </c>
      <c r="G147" s="38">
        <f t="shared" si="145"/>
        <v>10874.017752695159</v>
      </c>
      <c r="H147" s="38">
        <f t="shared" si="145"/>
        <v>16038.570563958598</v>
      </c>
      <c r="I147" s="38">
        <f t="shared" si="145"/>
        <v>23517.307564178816</v>
      </c>
      <c r="J147" s="38">
        <f t="shared" si="145"/>
        <v>21600.193425477657</v>
      </c>
      <c r="K147" s="38">
        <f t="shared" si="145"/>
        <v>9711.378816572158</v>
      </c>
      <c r="L147" s="38">
        <f t="shared" si="145"/>
        <v>-7212.3663258234001</v>
      </c>
      <c r="M147" s="38">
        <f t="shared" ref="M147:Z147" si="146">SUM(K144:M144)</f>
        <v>-17962.172326404179</v>
      </c>
      <c r="N147" s="38">
        <f t="shared" si="146"/>
        <v>-21671.72905038036</v>
      </c>
      <c r="O147" s="38">
        <f t="shared" si="146"/>
        <v>-24919.194966252719</v>
      </c>
      <c r="P147" s="38">
        <f t="shared" si="146"/>
        <v>-22746.189996648714</v>
      </c>
      <c r="Q147" s="38">
        <f t="shared" si="146"/>
        <v>-19421.34626735478</v>
      </c>
      <c r="R147" s="38">
        <f t="shared" si="146"/>
        <v>-14170.270729660499</v>
      </c>
      <c r="S147" s="38">
        <f t="shared" si="146"/>
        <v>-13312.435549791</v>
      </c>
      <c r="T147" s="38">
        <f t="shared" si="146"/>
        <v>-8606.0786220834598</v>
      </c>
      <c r="U147" s="38">
        <f t="shared" si="146"/>
        <v>-2675.0637618741398</v>
      </c>
      <c r="V147" s="38">
        <f t="shared" si="146"/>
        <v>1143.9163799420103</v>
      </c>
      <c r="W147" s="38">
        <f t="shared" si="146"/>
        <v>2654.7903936431931</v>
      </c>
      <c r="X147" s="38">
        <f t="shared" si="146"/>
        <v>3397.9148911493271</v>
      </c>
      <c r="Y147" s="38">
        <f t="shared" si="146"/>
        <v>8413.6180904917455</v>
      </c>
      <c r="Z147" s="38">
        <f t="shared" si="146"/>
        <v>12373.490415216413</v>
      </c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  <c r="BD147" s="65"/>
      <c r="BE147" s="65"/>
      <c r="BF147" s="65"/>
      <c r="BG147" s="65"/>
      <c r="BH147" s="65"/>
      <c r="BI147" s="65"/>
      <c r="BJ147" s="65"/>
      <c r="BK147" s="65"/>
      <c r="BL147" s="65"/>
      <c r="BM147" s="65"/>
      <c r="BN147" s="65"/>
      <c r="BO147" s="65"/>
      <c r="BP147" s="65"/>
      <c r="BQ147" s="65"/>
      <c r="BR147" s="65"/>
      <c r="BS147" s="65"/>
      <c r="BT147" s="65"/>
      <c r="BU147" s="65"/>
      <c r="BV147" s="65"/>
    </row>
    <row r="148" spans="1:74" s="26" customFormat="1" ht="13.5" x14ac:dyDescent="0.25">
      <c r="A148" s="26" t="s">
        <v>132</v>
      </c>
      <c r="B148" s="38"/>
      <c r="C148" s="38">
        <f t="shared" ref="C148:H148" si="147">C141/B141*C142/B142*B143</f>
        <v>122458.79347820062</v>
      </c>
      <c r="D148" s="38">
        <f t="shared" si="147"/>
        <v>135012.82670215247</v>
      </c>
      <c r="E148" s="78">
        <f t="shared" si="147"/>
        <v>148636.58334443462</v>
      </c>
      <c r="F148" s="78">
        <f t="shared" si="147"/>
        <v>153876.85368445751</v>
      </c>
      <c r="G148" s="78">
        <f t="shared" si="147"/>
        <v>168113.06149663415</v>
      </c>
      <c r="H148" s="78">
        <f t="shared" si="147"/>
        <v>182489.57597626044</v>
      </c>
      <c r="I148" s="78">
        <f t="shared" ref="I148:M148" si="148">I141/H141*I142/H142*H143</f>
        <v>191968.34956309234</v>
      </c>
      <c r="J148" s="78">
        <f t="shared" si="148"/>
        <v>199764.66256197426</v>
      </c>
      <c r="K148" s="78">
        <f t="shared" si="148"/>
        <v>183758.8030389582</v>
      </c>
      <c r="L148" s="78">
        <f t="shared" si="148"/>
        <v>170044.54828504828</v>
      </c>
      <c r="M148" s="78">
        <f t="shared" si="148"/>
        <v>173598.03476993888</v>
      </c>
      <c r="N148" s="78">
        <f>N141/M141*N142/M142*M143</f>
        <v>176401.95976966587</v>
      </c>
      <c r="O148" s="78">
        <f t="shared" ref="O148:Z148" si="149">O141/N141*O142/N142*N143</f>
        <v>180574.36743568871</v>
      </c>
      <c r="P148" s="78">
        <f t="shared" si="149"/>
        <v>186654.38179646965</v>
      </c>
      <c r="Q148" s="78">
        <f t="shared" si="149"/>
        <v>259171.34298199377</v>
      </c>
      <c r="R148" s="78">
        <f t="shared" si="149"/>
        <v>269403.36081442697</v>
      </c>
      <c r="S148" s="78">
        <f t="shared" si="149"/>
        <v>297598.1604001784</v>
      </c>
      <c r="T148" s="78">
        <f t="shared" si="149"/>
        <v>316373.81545397954</v>
      </c>
      <c r="U148" s="78">
        <f t="shared" si="149"/>
        <v>339035.73848224612</v>
      </c>
      <c r="V148" s="78">
        <f t="shared" si="149"/>
        <v>356008.94691243052</v>
      </c>
      <c r="W148" s="78">
        <f t="shared" si="149"/>
        <v>362090.50357666041</v>
      </c>
      <c r="X148" s="78">
        <f t="shared" si="149"/>
        <v>377998.13856956532</v>
      </c>
      <c r="Y148" s="78">
        <f t="shared" si="149"/>
        <v>393999.47101261339</v>
      </c>
      <c r="Z148" s="78">
        <f t="shared" si="149"/>
        <v>411596.69351069198</v>
      </c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5"/>
      <c r="BE148" s="65"/>
      <c r="BF148" s="65"/>
      <c r="BG148" s="65"/>
      <c r="BH148" s="65"/>
      <c r="BI148" s="65"/>
      <c r="BJ148" s="65"/>
      <c r="BK148" s="65"/>
      <c r="BL148" s="65"/>
      <c r="BM148" s="65"/>
      <c r="BN148" s="65"/>
      <c r="BO148" s="65"/>
      <c r="BP148" s="65"/>
      <c r="BQ148" s="65"/>
      <c r="BR148" s="65"/>
      <c r="BS148" s="65"/>
      <c r="BT148" s="65"/>
      <c r="BU148" s="65"/>
      <c r="BV148" s="65"/>
    </row>
    <row r="149" spans="1:74" s="26" customFormat="1" ht="13.5" x14ac:dyDescent="0.25">
      <c r="A149" s="26" t="s">
        <v>133</v>
      </c>
      <c r="B149" s="38"/>
      <c r="C149" s="38"/>
      <c r="D149" s="38"/>
      <c r="E149" s="38" t="str">
        <f t="shared" ref="E149:U149" si="150">IF((SUMPRODUCT($B$140:$D$140,B146:D146)+60)&gt;60,(SUMPRODUCT($B$140:$D$140,B146:D146)+60),"")</f>
        <v/>
      </c>
      <c r="F149" s="38" t="str">
        <f t="shared" si="150"/>
        <v/>
      </c>
      <c r="G149" s="38" t="str">
        <f t="shared" si="150"/>
        <v/>
      </c>
      <c r="H149" s="38" t="str">
        <f t="shared" si="150"/>
        <v/>
      </c>
      <c r="I149" s="38" t="str">
        <f t="shared" si="150"/>
        <v/>
      </c>
      <c r="J149" s="38" t="str">
        <f t="shared" si="150"/>
        <v/>
      </c>
      <c r="K149" s="38" t="str">
        <f t="shared" si="150"/>
        <v/>
      </c>
      <c r="L149" s="38">
        <f t="shared" si="150"/>
        <v>60.488754720234837</v>
      </c>
      <c r="M149" s="38">
        <f t="shared" si="150"/>
        <v>68.693965073635567</v>
      </c>
      <c r="N149" s="38">
        <f t="shared" si="150"/>
        <v>84.429478008271019</v>
      </c>
      <c r="O149" s="38">
        <f t="shared" si="150"/>
        <v>101.77029611406584</v>
      </c>
      <c r="P149" s="38">
        <f t="shared" si="150"/>
        <v>111.58337337746542</v>
      </c>
      <c r="Q149" s="38">
        <f t="shared" si="150"/>
        <v>109.19832065291635</v>
      </c>
      <c r="R149" s="38">
        <f t="shared" si="150"/>
        <v>95.759973343247907</v>
      </c>
      <c r="S149" s="38">
        <f t="shared" si="150"/>
        <v>82.112334584430926</v>
      </c>
      <c r="T149" s="38">
        <f t="shared" si="150"/>
        <v>71.413911101394262</v>
      </c>
      <c r="U149" s="38">
        <f t="shared" si="150"/>
        <v>67.43205417749779</v>
      </c>
      <c r="V149" s="38">
        <f>IF((SUMPRODUCT($B$140:$D$140,S146:U146)+60)&gt;60,(SUMPRODUCT($B$140:$D$140,S146:U146)+60),"")</f>
        <v>63.293115726087457</v>
      </c>
      <c r="W149" s="38">
        <f>IF((SUMPRODUCT($B$140:$D$140,T146:V146)+60)&gt;60,(SUMPRODUCT($B$140:$D$140,T146:V146)+60),"")</f>
        <v>61.019133517262375</v>
      </c>
      <c r="X149" s="38" t="str">
        <f>IF((SUMPRODUCT($B$140:$D$140,U146:W146)+60)&gt;60,(SUMPRODUCT($B$140:$D$140,U146:W146)+60),"")</f>
        <v/>
      </c>
      <c r="Y149" s="38" t="str">
        <f>IF((SUMPRODUCT($B$140:$D$140,V146:X146)+60)&gt;60,(SUMPRODUCT($B$140:$D$140,V146:X146)+60),"")</f>
        <v/>
      </c>
      <c r="Z149" s="38" t="str">
        <f>IF((SUMPRODUCT($B$140:$D$140,W146:Y146)+60)&gt;60,(SUMPRODUCT($B$140:$D$140,W146:Y146)+60),"")</f>
        <v/>
      </c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  <c r="BD149" s="65"/>
      <c r="BE149" s="65"/>
      <c r="BF149" s="65"/>
      <c r="BG149" s="65"/>
      <c r="BH149" s="65"/>
      <c r="BI149" s="65"/>
      <c r="BJ149" s="65"/>
      <c r="BK149" s="65"/>
      <c r="BL149" s="65"/>
      <c r="BM149" s="65"/>
      <c r="BN149" s="65"/>
      <c r="BO149" s="65"/>
      <c r="BP149" s="65"/>
      <c r="BQ149" s="65"/>
      <c r="BR149" s="65"/>
      <c r="BS149" s="65"/>
      <c r="BT149" s="65"/>
      <c r="BU149" s="65"/>
      <c r="BV149" s="65"/>
    </row>
    <row r="150" spans="1:74" s="26" customFormat="1" ht="13.5" x14ac:dyDescent="0.25">
      <c r="A150" s="26" t="s">
        <v>134</v>
      </c>
      <c r="B150" s="38"/>
      <c r="C150" s="38"/>
      <c r="D150" s="38"/>
      <c r="E150" s="38"/>
      <c r="F150" s="38"/>
      <c r="G150" s="38"/>
      <c r="H150" s="38"/>
      <c r="I150" s="38"/>
      <c r="J150" s="38">
        <f t="shared" ref="J150:W150" si="151">IF(L149="","-",L149)</f>
        <v>60.488754720234837</v>
      </c>
      <c r="K150" s="38">
        <f t="shared" si="151"/>
        <v>68.693965073635567</v>
      </c>
      <c r="L150" s="38">
        <f t="shared" si="151"/>
        <v>84.429478008271019</v>
      </c>
      <c r="M150" s="38">
        <f t="shared" si="151"/>
        <v>101.77029611406584</v>
      </c>
      <c r="N150" s="38">
        <f t="shared" si="151"/>
        <v>111.58337337746542</v>
      </c>
      <c r="O150" s="38">
        <f t="shared" si="151"/>
        <v>109.19832065291635</v>
      </c>
      <c r="P150" s="38">
        <f t="shared" si="151"/>
        <v>95.759973343247907</v>
      </c>
      <c r="Q150" s="38">
        <f t="shared" si="151"/>
        <v>82.112334584430926</v>
      </c>
      <c r="R150" s="38">
        <f t="shared" si="151"/>
        <v>71.413911101394262</v>
      </c>
      <c r="S150" s="38">
        <f t="shared" si="151"/>
        <v>67.43205417749779</v>
      </c>
      <c r="T150" s="38">
        <f t="shared" si="151"/>
        <v>63.293115726087457</v>
      </c>
      <c r="U150" s="38">
        <f t="shared" si="151"/>
        <v>61.019133517262375</v>
      </c>
      <c r="V150" s="38" t="str">
        <f t="shared" si="151"/>
        <v>-</v>
      </c>
      <c r="W150" s="38" t="str">
        <f t="shared" si="151"/>
        <v>-</v>
      </c>
      <c r="X150" s="38" t="str">
        <f>IF(Z149="","-",Z149)</f>
        <v>-</v>
      </c>
      <c r="Y150" s="38" t="str">
        <f>IF(AA149="","-",AA149)</f>
        <v>-</v>
      </c>
      <c r="Z150" s="38" t="str">
        <f>IF(AB149="","-",AB149)</f>
        <v>-</v>
      </c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  <c r="BD150" s="65"/>
      <c r="BE150" s="65"/>
      <c r="BF150" s="65"/>
      <c r="BG150" s="65"/>
      <c r="BH150" s="65"/>
      <c r="BI150" s="65"/>
      <c r="BJ150" s="65"/>
      <c r="BK150" s="65"/>
      <c r="BL150" s="65"/>
      <c r="BM150" s="65"/>
      <c r="BN150" s="65"/>
      <c r="BO150" s="65"/>
      <c r="BP150" s="65"/>
      <c r="BQ150" s="65"/>
      <c r="BR150" s="65"/>
      <c r="BS150" s="65"/>
      <c r="BT150" s="65"/>
      <c r="BU150" s="65"/>
      <c r="BV150" s="65"/>
    </row>
    <row r="151" spans="1:74" s="26" customFormat="1" ht="13.5" x14ac:dyDescent="0.25">
      <c r="A151" s="26" t="s">
        <v>135</v>
      </c>
      <c r="E151" s="26">
        <f t="shared" ref="E151:Y151" si="152">(E145*E143+E147)/E148</f>
        <v>29.363512022348196</v>
      </c>
      <c r="F151" s="26">
        <f t="shared" si="152"/>
        <v>28.691318571920242</v>
      </c>
      <c r="G151" s="26">
        <f t="shared" si="152"/>
        <v>26.462988527763891</v>
      </c>
      <c r="H151" s="26">
        <f t="shared" si="152"/>
        <v>24.030077044698828</v>
      </c>
      <c r="I151" s="26">
        <f t="shared" si="152"/>
        <v>24.682804839174192</v>
      </c>
      <c r="J151" s="26">
        <f t="shared" si="152"/>
        <v>39.965527891844445</v>
      </c>
      <c r="K151" s="26">
        <f t="shared" si="152"/>
        <v>57.022092033300275</v>
      </c>
      <c r="L151" s="38">
        <f t="shared" si="152"/>
        <v>84.776535202462171</v>
      </c>
      <c r="M151" s="38">
        <f t="shared" si="152"/>
        <v>109.18751386093395</v>
      </c>
      <c r="N151" s="38">
        <f t="shared" si="152"/>
        <v>118.94385016099848</v>
      </c>
      <c r="O151" s="38">
        <f t="shared" si="152"/>
        <v>119.1214517901861</v>
      </c>
      <c r="P151" s="38">
        <f t="shared" si="152"/>
        <v>108.83780822330304</v>
      </c>
      <c r="Q151" s="38">
        <f t="shared" si="152"/>
        <v>77.732277118046611</v>
      </c>
      <c r="R151" s="38">
        <f t="shared" si="152"/>
        <v>74.448699038636008</v>
      </c>
      <c r="S151" s="38">
        <f t="shared" si="152"/>
        <v>67.617983718014088</v>
      </c>
      <c r="T151" s="38">
        <f t="shared" si="152"/>
        <v>65.078691458183798</v>
      </c>
      <c r="U151" s="38">
        <f t="shared" si="152"/>
        <v>60.044775891094304</v>
      </c>
      <c r="V151" s="38">
        <f t="shared" si="152"/>
        <v>55.760238860690315</v>
      </c>
      <c r="W151" s="38">
        <f t="shared" si="152"/>
        <v>56.843950855054565</v>
      </c>
      <c r="X151" s="38">
        <f t="shared" si="152"/>
        <v>54.797618827636455</v>
      </c>
      <c r="Y151" s="38">
        <f t="shared" si="152"/>
        <v>54.133102167052627</v>
      </c>
      <c r="Z151" s="38">
        <f t="shared" ref="Z151" si="153">(Z145*Z143+Z147)/Z148</f>
        <v>53.116008546962</v>
      </c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  <c r="BD151" s="65"/>
      <c r="BE151" s="65"/>
      <c r="BF151" s="65"/>
      <c r="BG151" s="65"/>
      <c r="BH151" s="65"/>
      <c r="BI151" s="65"/>
      <c r="BJ151" s="65"/>
      <c r="BK151" s="65"/>
      <c r="BL151" s="65"/>
      <c r="BM151" s="65"/>
      <c r="BN151" s="65"/>
      <c r="BO151" s="65"/>
      <c r="BP151" s="65"/>
      <c r="BQ151" s="65"/>
      <c r="BR151" s="65"/>
      <c r="BS151" s="65"/>
      <c r="BT151" s="65"/>
      <c r="BU151" s="65"/>
      <c r="BV151" s="65"/>
    </row>
    <row r="152" spans="1:74" s="26" customFormat="1" ht="13.5" x14ac:dyDescent="0.25"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  <c r="BD152" s="65"/>
      <c r="BE152" s="65"/>
      <c r="BF152" s="65"/>
      <c r="BG152" s="65"/>
      <c r="BH152" s="65"/>
      <c r="BI152" s="65"/>
      <c r="BJ152" s="65"/>
      <c r="BK152" s="65"/>
      <c r="BL152" s="65"/>
      <c r="BM152" s="65"/>
      <c r="BN152" s="65"/>
      <c r="BO152" s="65"/>
      <c r="BP152" s="65"/>
      <c r="BQ152" s="65"/>
      <c r="BR152" s="65"/>
      <c r="BS152" s="65"/>
      <c r="BT152" s="65"/>
      <c r="BU152" s="65"/>
      <c r="BV152" s="65"/>
    </row>
    <row r="153" spans="1:74" s="26" customFormat="1" ht="13.5" x14ac:dyDescent="0.25">
      <c r="A153" s="26" t="s">
        <v>136</v>
      </c>
      <c r="L153" s="78">
        <f t="shared" ref="L153:U153" si="154">L145</f>
        <v>85.988362387618338</v>
      </c>
      <c r="M153" s="78">
        <f t="shared" si="154"/>
        <v>111.06382480521229</v>
      </c>
      <c r="N153" s="78">
        <f t="shared" si="154"/>
        <v>119.94106763516754</v>
      </c>
      <c r="O153" s="78">
        <f t="shared" si="154"/>
        <v>119.86574715714595</v>
      </c>
      <c r="P153" s="78">
        <f t="shared" si="154"/>
        <v>104.39384451128745</v>
      </c>
      <c r="Q153" s="78">
        <f t="shared" si="154"/>
        <v>76.723242515209279</v>
      </c>
      <c r="R153" s="78">
        <f t="shared" si="154"/>
        <v>73.875899942580347</v>
      </c>
      <c r="S153" s="78">
        <f t="shared" si="154"/>
        <v>67.769098478448896</v>
      </c>
      <c r="T153" s="78">
        <f t="shared" si="154"/>
        <v>63.566001518340443</v>
      </c>
      <c r="U153" s="78">
        <f t="shared" si="154"/>
        <v>59.32399568867892</v>
      </c>
      <c r="V153" s="78">
        <f>V145</f>
        <v>56.494864404390796</v>
      </c>
      <c r="W153" s="78">
        <f>W145</f>
        <v>56.350334720582985</v>
      </c>
      <c r="X153" s="78">
        <f>X145</f>
        <v>54.394449453288516</v>
      </c>
      <c r="Y153" s="78">
        <f>Y145</f>
        <v>53.775398821895934</v>
      </c>
      <c r="Z153" s="78">
        <f>Z145</f>
        <v>52.963436474814088</v>
      </c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  <c r="BD153" s="65"/>
      <c r="BE153" s="65"/>
      <c r="BF153" s="65"/>
      <c r="BG153" s="65"/>
      <c r="BH153" s="65"/>
      <c r="BI153" s="65"/>
      <c r="BJ153" s="65"/>
      <c r="BK153" s="65"/>
      <c r="BL153" s="65"/>
      <c r="BM153" s="65"/>
      <c r="BN153" s="65"/>
      <c r="BO153" s="65"/>
      <c r="BP153" s="65"/>
      <c r="BQ153" s="65"/>
      <c r="BR153" s="65"/>
      <c r="BS153" s="65"/>
      <c r="BT153" s="65"/>
      <c r="BU153" s="65"/>
      <c r="BV153" s="65"/>
    </row>
    <row r="154" spans="1:74" s="26" customFormat="1" ht="13.5" x14ac:dyDescent="0.25">
      <c r="A154" s="26" t="s">
        <v>137</v>
      </c>
      <c r="L154" s="78">
        <f t="shared" ref="L154:U154" si="155">L149</f>
        <v>60.488754720234837</v>
      </c>
      <c r="M154" s="78">
        <f t="shared" si="155"/>
        <v>68.693965073635567</v>
      </c>
      <c r="N154" s="78">
        <f t="shared" si="155"/>
        <v>84.429478008271019</v>
      </c>
      <c r="O154" s="78">
        <f t="shared" si="155"/>
        <v>101.77029611406584</v>
      </c>
      <c r="P154" s="78">
        <f t="shared" si="155"/>
        <v>111.58337337746542</v>
      </c>
      <c r="Q154" s="78">
        <f t="shared" si="155"/>
        <v>109.19832065291635</v>
      </c>
      <c r="R154" s="78">
        <f t="shared" si="155"/>
        <v>95.759973343247907</v>
      </c>
      <c r="S154" s="78">
        <f t="shared" si="155"/>
        <v>82.112334584430926</v>
      </c>
      <c r="T154" s="78">
        <f t="shared" si="155"/>
        <v>71.413911101394262</v>
      </c>
      <c r="U154" s="78">
        <f t="shared" si="155"/>
        <v>67.43205417749779</v>
      </c>
      <c r="V154" s="78">
        <f>V149</f>
        <v>63.293115726087457</v>
      </c>
      <c r="W154" s="78">
        <f>W149</f>
        <v>61.019133517262375</v>
      </c>
      <c r="X154" s="78" t="str">
        <f>X149</f>
        <v/>
      </c>
      <c r="Y154" s="78" t="str">
        <f>Y149</f>
        <v/>
      </c>
      <c r="Z154" s="78" t="str">
        <f>Z149</f>
        <v/>
      </c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  <c r="BD154" s="65"/>
      <c r="BE154" s="65"/>
      <c r="BF154" s="65"/>
      <c r="BG154" s="65"/>
      <c r="BH154" s="65"/>
      <c r="BI154" s="65"/>
      <c r="BJ154" s="65"/>
      <c r="BK154" s="65"/>
      <c r="BL154" s="65"/>
      <c r="BM154" s="65"/>
      <c r="BN154" s="65"/>
      <c r="BO154" s="65"/>
      <c r="BP154" s="65"/>
      <c r="BQ154" s="65"/>
      <c r="BR154" s="65"/>
      <c r="BS154" s="65"/>
      <c r="BT154" s="65"/>
      <c r="BU154" s="65"/>
      <c r="BV154" s="65"/>
    </row>
    <row r="155" spans="1:74" s="26" customFormat="1" ht="13.5" x14ac:dyDescent="0.25">
      <c r="A155" s="26" t="s">
        <v>138</v>
      </c>
      <c r="L155" s="38">
        <f t="shared" ref="L155:V155" si="156">IF(N145="","-",N145)</f>
        <v>119.94106763516754</v>
      </c>
      <c r="M155" s="38">
        <f t="shared" si="156"/>
        <v>119.86574715714595</v>
      </c>
      <c r="N155" s="38">
        <f t="shared" si="156"/>
        <v>104.39384451128745</v>
      </c>
      <c r="O155" s="38">
        <f t="shared" si="156"/>
        <v>76.723242515209279</v>
      </c>
      <c r="P155" s="38">
        <f t="shared" si="156"/>
        <v>73.875899942580347</v>
      </c>
      <c r="Q155" s="38">
        <f t="shared" si="156"/>
        <v>67.769098478448896</v>
      </c>
      <c r="R155" s="38">
        <f t="shared" si="156"/>
        <v>63.566001518340443</v>
      </c>
      <c r="S155" s="38">
        <f t="shared" si="156"/>
        <v>59.32399568867892</v>
      </c>
      <c r="T155" s="38">
        <f t="shared" si="156"/>
        <v>56.494864404390796</v>
      </c>
      <c r="U155" s="38">
        <f t="shared" si="156"/>
        <v>56.350334720582985</v>
      </c>
      <c r="V155" s="38">
        <f t="shared" si="156"/>
        <v>54.394449453288516</v>
      </c>
      <c r="W155" s="38">
        <f>IF(Y145="","-",Y145)</f>
        <v>53.775398821895934</v>
      </c>
      <c r="X155" s="38">
        <f>IF(Z145="","-",Z145)</f>
        <v>52.963436474814088</v>
      </c>
      <c r="Y155" s="38" t="str">
        <f>IF(AA145="","-",AA145)</f>
        <v>-</v>
      </c>
      <c r="Z155" s="38" t="str">
        <f>IF(AB145="","-",AB145)</f>
        <v>-</v>
      </c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  <c r="BD155" s="65"/>
      <c r="BE155" s="65"/>
      <c r="BF155" s="65"/>
      <c r="BG155" s="65"/>
      <c r="BH155" s="65"/>
      <c r="BI155" s="65"/>
      <c r="BJ155" s="65"/>
      <c r="BK155" s="65"/>
      <c r="BL155" s="65"/>
      <c r="BM155" s="65"/>
      <c r="BN155" s="65"/>
      <c r="BO155" s="65"/>
      <c r="BP155" s="65"/>
      <c r="BQ155" s="65"/>
      <c r="BR155" s="65"/>
      <c r="BS155" s="65"/>
      <c r="BT155" s="65"/>
      <c r="BU155" s="65"/>
      <c r="BV155" s="65"/>
    </row>
    <row r="156" spans="1:74" s="26" customFormat="1" ht="13.5" x14ac:dyDescent="0.25">
      <c r="A156" s="26" t="s">
        <v>139</v>
      </c>
      <c r="L156" s="26">
        <f t="shared" ref="L156:V156" si="157">IF(L150="","",L150)</f>
        <v>84.429478008271019</v>
      </c>
      <c r="M156" s="26">
        <f t="shared" si="157"/>
        <v>101.77029611406584</v>
      </c>
      <c r="N156" s="26">
        <f t="shared" si="157"/>
        <v>111.58337337746542</v>
      </c>
      <c r="O156" s="26">
        <f t="shared" si="157"/>
        <v>109.19832065291635</v>
      </c>
      <c r="P156" s="26">
        <f t="shared" si="157"/>
        <v>95.759973343247907</v>
      </c>
      <c r="Q156" s="26">
        <f t="shared" si="157"/>
        <v>82.112334584430926</v>
      </c>
      <c r="R156" s="26">
        <f t="shared" si="157"/>
        <v>71.413911101394262</v>
      </c>
      <c r="S156" s="26">
        <f t="shared" si="157"/>
        <v>67.43205417749779</v>
      </c>
      <c r="T156" s="26">
        <f t="shared" si="157"/>
        <v>63.293115726087457</v>
      </c>
      <c r="U156" s="26">
        <f t="shared" si="157"/>
        <v>61.019133517262375</v>
      </c>
      <c r="V156" s="26" t="str">
        <f t="shared" si="157"/>
        <v>-</v>
      </c>
      <c r="W156" s="26" t="str">
        <f>IF(W150="","",W150)</f>
        <v>-</v>
      </c>
      <c r="X156" s="26" t="str">
        <f>IF(X150="","",X150)</f>
        <v>-</v>
      </c>
      <c r="Y156" s="26" t="str">
        <f>IF(Y150="","",Y150)</f>
        <v>-</v>
      </c>
      <c r="Z156" s="26" t="str">
        <f>IF(Z150="","",Z150)</f>
        <v>-</v>
      </c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  <c r="BD156" s="65"/>
      <c r="BE156" s="65"/>
      <c r="BF156" s="65"/>
      <c r="BG156" s="65"/>
      <c r="BH156" s="65"/>
      <c r="BI156" s="65"/>
      <c r="BJ156" s="65"/>
      <c r="BK156" s="65"/>
      <c r="BL156" s="65"/>
      <c r="BM156" s="65"/>
      <c r="BN156" s="65"/>
      <c r="BO156" s="65"/>
      <c r="BP156" s="65"/>
      <c r="BQ156" s="65"/>
      <c r="BR156" s="65"/>
      <c r="BS156" s="65"/>
      <c r="BT156" s="65"/>
      <c r="BU156" s="65"/>
      <c r="BV156" s="65"/>
    </row>
    <row r="157" spans="1:74" s="26" customFormat="1" ht="13.5" x14ac:dyDescent="0.25">
      <c r="A157" s="26" t="s">
        <v>140</v>
      </c>
      <c r="F157" s="78"/>
      <c r="G157" s="78"/>
      <c r="H157" s="78"/>
      <c r="I157" s="78"/>
      <c r="J157" s="78"/>
      <c r="K157" s="78"/>
      <c r="L157" s="78">
        <f t="shared" ref="L157:U157" si="158">L151</f>
        <v>84.776535202462171</v>
      </c>
      <c r="M157" s="78">
        <f t="shared" si="158"/>
        <v>109.18751386093395</v>
      </c>
      <c r="N157" s="78">
        <f t="shared" si="158"/>
        <v>118.94385016099848</v>
      </c>
      <c r="O157" s="78">
        <f t="shared" si="158"/>
        <v>119.1214517901861</v>
      </c>
      <c r="P157" s="78">
        <f t="shared" si="158"/>
        <v>108.83780822330304</v>
      </c>
      <c r="Q157" s="78">
        <f t="shared" si="158"/>
        <v>77.732277118046611</v>
      </c>
      <c r="R157" s="78">
        <f t="shared" si="158"/>
        <v>74.448699038636008</v>
      </c>
      <c r="S157" s="78">
        <f t="shared" si="158"/>
        <v>67.617983718014088</v>
      </c>
      <c r="T157" s="78">
        <f t="shared" si="158"/>
        <v>65.078691458183798</v>
      </c>
      <c r="U157" s="78">
        <f t="shared" si="158"/>
        <v>60.044775891094304</v>
      </c>
      <c r="V157" s="78">
        <f>V151</f>
        <v>55.760238860690315</v>
      </c>
      <c r="W157" s="78">
        <f>W151</f>
        <v>56.843950855054565</v>
      </c>
      <c r="X157" s="78">
        <f>X151</f>
        <v>54.797618827636455</v>
      </c>
      <c r="Y157" s="78">
        <f>Y151</f>
        <v>54.133102167052627</v>
      </c>
      <c r="Z157" s="78">
        <f>Z151</f>
        <v>53.116008546962</v>
      </c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  <c r="BD157" s="65"/>
      <c r="BE157" s="65"/>
      <c r="BF157" s="65"/>
      <c r="BG157" s="65"/>
      <c r="BH157" s="65"/>
      <c r="BI157" s="65"/>
      <c r="BJ157" s="65"/>
      <c r="BK157" s="65"/>
      <c r="BL157" s="65"/>
      <c r="BM157" s="65"/>
      <c r="BN157" s="65"/>
      <c r="BO157" s="65"/>
      <c r="BP157" s="65"/>
      <c r="BQ157" s="65"/>
      <c r="BR157" s="65"/>
      <c r="BS157" s="65"/>
      <c r="BT157" s="65"/>
      <c r="BU157" s="65"/>
      <c r="BV157" s="65"/>
    </row>
    <row r="158" spans="1:74" s="26" customFormat="1" ht="13.5" x14ac:dyDescent="0.25"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  <c r="BD158" s="65"/>
      <c r="BE158" s="65"/>
      <c r="BF158" s="65"/>
      <c r="BG158" s="65"/>
      <c r="BH158" s="65"/>
      <c r="BI158" s="65"/>
      <c r="BJ158" s="65"/>
      <c r="BK158" s="65"/>
      <c r="BL158" s="65"/>
      <c r="BM158" s="65"/>
      <c r="BN158" s="65"/>
      <c r="BO158" s="65"/>
      <c r="BP158" s="65"/>
      <c r="BQ158" s="65"/>
      <c r="BR158" s="65"/>
      <c r="BS158" s="65"/>
      <c r="BT158" s="65"/>
      <c r="BU158" s="65"/>
      <c r="BV158" s="65"/>
    </row>
    <row r="159" spans="1:74" s="26" customFormat="1" ht="13.5" x14ac:dyDescent="0.25">
      <c r="A159" s="26" t="s">
        <v>141</v>
      </c>
      <c r="F159" s="90" t="str">
        <f t="shared" ref="F159:X159" si="159">IF(F153&lt;60,"Y", "-")</f>
        <v>Y</v>
      </c>
      <c r="G159" s="90" t="str">
        <f t="shared" si="159"/>
        <v>Y</v>
      </c>
      <c r="H159" s="90" t="str">
        <f t="shared" si="159"/>
        <v>Y</v>
      </c>
      <c r="I159" s="90" t="str">
        <f t="shared" si="159"/>
        <v>Y</v>
      </c>
      <c r="J159" s="90" t="str">
        <f t="shared" si="159"/>
        <v>Y</v>
      </c>
      <c r="K159" s="90" t="str">
        <f t="shared" si="159"/>
        <v>Y</v>
      </c>
      <c r="L159" s="90" t="str">
        <f t="shared" si="159"/>
        <v>-</v>
      </c>
      <c r="M159" s="90" t="str">
        <f t="shared" si="159"/>
        <v>-</v>
      </c>
      <c r="N159" s="90" t="str">
        <f t="shared" si="159"/>
        <v>-</v>
      </c>
      <c r="O159" s="90" t="str">
        <f t="shared" si="159"/>
        <v>-</v>
      </c>
      <c r="P159" s="90" t="str">
        <f t="shared" si="159"/>
        <v>-</v>
      </c>
      <c r="Q159" s="90" t="str">
        <f t="shared" si="159"/>
        <v>-</v>
      </c>
      <c r="R159" s="90" t="str">
        <f t="shared" si="159"/>
        <v>-</v>
      </c>
      <c r="S159" s="90" t="str">
        <f t="shared" si="159"/>
        <v>-</v>
      </c>
      <c r="T159" s="90" t="str">
        <f t="shared" si="159"/>
        <v>-</v>
      </c>
      <c r="U159" s="90" t="str">
        <f t="shared" si="159"/>
        <v>Y</v>
      </c>
      <c r="V159" s="90" t="str">
        <f t="shared" si="159"/>
        <v>Y</v>
      </c>
      <c r="W159" s="90" t="str">
        <f t="shared" si="159"/>
        <v>Y</v>
      </c>
      <c r="X159" s="90" t="str">
        <f t="shared" si="159"/>
        <v>Y</v>
      </c>
      <c r="Y159" s="90" t="str">
        <f>IF(Y153&lt;60,"Y", "-")</f>
        <v>Y</v>
      </c>
      <c r="Z159" s="90" t="str">
        <f>IF(Z153&lt;60,"Y", "-")</f>
        <v>Y</v>
      </c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  <c r="BD159" s="65"/>
      <c r="BE159" s="65"/>
      <c r="BF159" s="65"/>
      <c r="BG159" s="65"/>
      <c r="BH159" s="65"/>
      <c r="BI159" s="65"/>
      <c r="BJ159" s="65"/>
      <c r="BK159" s="65"/>
      <c r="BL159" s="65"/>
      <c r="BM159" s="65"/>
      <c r="BN159" s="65"/>
      <c r="BO159" s="65"/>
      <c r="BP159" s="65"/>
      <c r="BQ159" s="65"/>
      <c r="BR159" s="65"/>
      <c r="BS159" s="65"/>
      <c r="BT159" s="65"/>
      <c r="BU159" s="65"/>
      <c r="BV159" s="65"/>
    </row>
    <row r="160" spans="1:74" s="26" customFormat="1" ht="13.5" x14ac:dyDescent="0.25">
      <c r="A160" s="26" t="s">
        <v>142</v>
      </c>
      <c r="F160" s="90" t="str">
        <f t="shared" ref="F160:Z160" si="160">IF(MIN(C153:E153)&gt;60,IF(F154&gt;F153,"Y","not met"),"-")</f>
        <v>-</v>
      </c>
      <c r="G160" s="90" t="str">
        <f t="shared" si="160"/>
        <v>-</v>
      </c>
      <c r="H160" s="90" t="str">
        <f t="shared" si="160"/>
        <v>-</v>
      </c>
      <c r="I160" s="90" t="str">
        <f t="shared" si="160"/>
        <v>-</v>
      </c>
      <c r="J160" s="90" t="str">
        <f t="shared" si="160"/>
        <v>-</v>
      </c>
      <c r="K160" s="90" t="str">
        <f t="shared" si="160"/>
        <v>-</v>
      </c>
      <c r="L160" s="90" t="str">
        <f t="shared" si="160"/>
        <v>-</v>
      </c>
      <c r="M160" s="90" t="str">
        <f>IF(MIN(J153:L153)&gt;60,IF(M154&gt;M153,"Y","not met"),"-")</f>
        <v>not met</v>
      </c>
      <c r="N160" s="90" t="str">
        <f t="shared" si="160"/>
        <v>not met</v>
      </c>
      <c r="O160" s="90" t="str">
        <f t="shared" si="160"/>
        <v>not met</v>
      </c>
      <c r="P160" s="90" t="str">
        <f t="shared" si="160"/>
        <v>Y</v>
      </c>
      <c r="Q160" s="90" t="str">
        <f t="shared" si="160"/>
        <v>Y</v>
      </c>
      <c r="R160" s="90" t="str">
        <f t="shared" si="160"/>
        <v>Y</v>
      </c>
      <c r="S160" s="90" t="str">
        <f t="shared" si="160"/>
        <v>Y</v>
      </c>
      <c r="T160" s="90" t="str">
        <f t="shared" si="160"/>
        <v>Y</v>
      </c>
      <c r="U160" s="90" t="str">
        <f t="shared" si="160"/>
        <v>Y</v>
      </c>
      <c r="V160" s="90" t="str">
        <f t="shared" si="160"/>
        <v>-</v>
      </c>
      <c r="W160" s="90" t="str">
        <f t="shared" si="160"/>
        <v>-</v>
      </c>
      <c r="X160" s="90" t="str">
        <f t="shared" si="160"/>
        <v>-</v>
      </c>
      <c r="Y160" s="90" t="str">
        <f t="shared" si="160"/>
        <v>-</v>
      </c>
      <c r="Z160" s="90" t="str">
        <f t="shared" si="160"/>
        <v>-</v>
      </c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  <c r="BD160" s="65"/>
      <c r="BE160" s="65"/>
      <c r="BF160" s="65"/>
      <c r="BG160" s="65"/>
      <c r="BH160" s="65"/>
      <c r="BI160" s="65"/>
      <c r="BJ160" s="65"/>
      <c r="BK160" s="65"/>
      <c r="BL160" s="65"/>
      <c r="BM160" s="65"/>
      <c r="BN160" s="65"/>
      <c r="BO160" s="65"/>
      <c r="BP160" s="65"/>
      <c r="BQ160" s="65"/>
      <c r="BR160" s="65"/>
      <c r="BS160" s="65"/>
      <c r="BT160" s="65"/>
      <c r="BU160" s="65"/>
      <c r="BV160" s="65"/>
    </row>
    <row r="161" spans="1:74" s="26" customFormat="1" ht="13.5" x14ac:dyDescent="0.25">
      <c r="A161" s="26" t="s">
        <v>143</v>
      </c>
      <c r="F161" s="90" t="str">
        <f t="shared" ref="F161:X161" si="161">IFERROR(IF(MIN(E153:G153)&gt;60,IF(F156&gt;F155,"Y","not met"),NA()),"-")</f>
        <v>-</v>
      </c>
      <c r="G161" s="90" t="str">
        <f t="shared" si="161"/>
        <v>-</v>
      </c>
      <c r="H161" s="90" t="str">
        <f t="shared" si="161"/>
        <v>-</v>
      </c>
      <c r="I161" s="90" t="str">
        <f t="shared" si="161"/>
        <v>-</v>
      </c>
      <c r="J161" s="90" t="str">
        <f t="shared" si="161"/>
        <v>-</v>
      </c>
      <c r="K161" s="90" t="str">
        <f t="shared" si="161"/>
        <v>not met</v>
      </c>
      <c r="L161" s="90" t="str">
        <f t="shared" si="161"/>
        <v>not met</v>
      </c>
      <c r="M161" s="90" t="str">
        <f t="shared" si="161"/>
        <v>not met</v>
      </c>
      <c r="N161" s="90" t="str">
        <f t="shared" si="161"/>
        <v>Y</v>
      </c>
      <c r="O161" s="90" t="str">
        <f t="shared" si="161"/>
        <v>Y</v>
      </c>
      <c r="P161" s="90" t="str">
        <f t="shared" si="161"/>
        <v>Y</v>
      </c>
      <c r="Q161" s="90" t="str">
        <f t="shared" si="161"/>
        <v>Y</v>
      </c>
      <c r="R161" s="90" t="str">
        <f t="shared" si="161"/>
        <v>Y</v>
      </c>
      <c r="S161" s="90" t="str">
        <f t="shared" si="161"/>
        <v>Y</v>
      </c>
      <c r="T161" s="90" t="str">
        <f t="shared" si="161"/>
        <v>-</v>
      </c>
      <c r="U161" s="90" t="str">
        <f t="shared" si="161"/>
        <v>-</v>
      </c>
      <c r="V161" s="90" t="str">
        <f t="shared" si="161"/>
        <v>-</v>
      </c>
      <c r="W161" s="90" t="str">
        <f t="shared" si="161"/>
        <v>-</v>
      </c>
      <c r="X161" s="90" t="str">
        <f t="shared" si="161"/>
        <v>-</v>
      </c>
      <c r="Y161" s="90" t="str">
        <f>IFERROR(IF(MIN(X153:Z153)&gt;60,IF(Y156&gt;Y155,"Y","not met"),NA()),"-")</f>
        <v>-</v>
      </c>
      <c r="Z161" s="90" t="str">
        <f>IFERROR(IF(MIN(Y153:AA153)&gt;60,IF(Z156&gt;Z155,"Y","not met"),NA()),"-")</f>
        <v>-</v>
      </c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5"/>
      <c r="BG161" s="65"/>
      <c r="BH161" s="65"/>
      <c r="BI161" s="65"/>
      <c r="BJ161" s="65"/>
      <c r="BK161" s="65"/>
      <c r="BL161" s="65"/>
      <c r="BM161" s="65"/>
      <c r="BN161" s="65"/>
      <c r="BO161" s="65"/>
      <c r="BP161" s="65"/>
      <c r="BQ161" s="65"/>
      <c r="BR161" s="65"/>
      <c r="BS161" s="65"/>
      <c r="BT161" s="65"/>
      <c r="BU161" s="65"/>
      <c r="BV161" s="65"/>
    </row>
    <row r="162" spans="1:74" s="26" customFormat="1" ht="13.5" x14ac:dyDescent="0.25">
      <c r="A162" s="26" t="s">
        <v>144</v>
      </c>
      <c r="F162" s="91" t="str">
        <f t="shared" ref="F162:X162" si="162">IFERROR(IF(F153&gt;60,IF(F157&lt;F154,"Y","not met"),NA()),"-")</f>
        <v>-</v>
      </c>
      <c r="G162" s="91" t="str">
        <f t="shared" si="162"/>
        <v>-</v>
      </c>
      <c r="H162" s="91" t="str">
        <f t="shared" si="162"/>
        <v>-</v>
      </c>
      <c r="I162" s="91" t="str">
        <f t="shared" si="162"/>
        <v>-</v>
      </c>
      <c r="J162" s="91" t="str">
        <f t="shared" si="162"/>
        <v>-</v>
      </c>
      <c r="K162" s="91" t="str">
        <f t="shared" si="162"/>
        <v>-</v>
      </c>
      <c r="L162" s="91" t="str">
        <f t="shared" si="162"/>
        <v>not met</v>
      </c>
      <c r="M162" s="91" t="str">
        <f t="shared" si="162"/>
        <v>not met</v>
      </c>
      <c r="N162" s="91" t="str">
        <f t="shared" si="162"/>
        <v>not met</v>
      </c>
      <c r="O162" s="91" t="str">
        <f t="shared" si="162"/>
        <v>not met</v>
      </c>
      <c r="P162" s="91" t="str">
        <f t="shared" si="162"/>
        <v>Y</v>
      </c>
      <c r="Q162" s="91" t="str">
        <f t="shared" si="162"/>
        <v>Y</v>
      </c>
      <c r="R162" s="91" t="str">
        <f t="shared" si="162"/>
        <v>Y</v>
      </c>
      <c r="S162" s="91" t="str">
        <f t="shared" si="162"/>
        <v>Y</v>
      </c>
      <c r="T162" s="91" t="str">
        <f t="shared" si="162"/>
        <v>Y</v>
      </c>
      <c r="U162" s="91" t="str">
        <f t="shared" si="162"/>
        <v>-</v>
      </c>
      <c r="V162" s="91" t="str">
        <f t="shared" si="162"/>
        <v>-</v>
      </c>
      <c r="W162" s="91" t="str">
        <f t="shared" si="162"/>
        <v>-</v>
      </c>
      <c r="X162" s="91" t="str">
        <f t="shared" si="162"/>
        <v>-</v>
      </c>
      <c r="Y162" s="91" t="str">
        <f>IFERROR(IF(Y153&gt;60,IF(Y157&lt;Y154,"Y","not met"),NA()),"-")</f>
        <v>-</v>
      </c>
      <c r="Z162" s="91" t="str">
        <f>IFERROR(IF(Z153&gt;60,IF(Z157&lt;Z154,"Y","not met"),NA()),"-")</f>
        <v>-</v>
      </c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  <c r="BD162" s="65"/>
      <c r="BE162" s="65"/>
      <c r="BF162" s="65"/>
      <c r="BG162" s="65"/>
      <c r="BH162" s="65"/>
      <c r="BI162" s="65"/>
      <c r="BJ162" s="65"/>
      <c r="BK162" s="65"/>
      <c r="BL162" s="65"/>
      <c r="BM162" s="65"/>
      <c r="BN162" s="65"/>
      <c r="BO162" s="65"/>
      <c r="BP162" s="65"/>
      <c r="BQ162" s="65"/>
      <c r="BR162" s="65"/>
      <c r="BS162" s="65"/>
      <c r="BT162" s="65"/>
      <c r="BU162" s="65"/>
      <c r="BV162" s="65"/>
    </row>
    <row r="163" spans="1:74" s="26" customFormat="1" ht="13.5" x14ac:dyDescent="0.25">
      <c r="A163" s="26" t="s">
        <v>145</v>
      </c>
      <c r="F163" s="91" t="str">
        <f t="shared" ref="F163:Y163" si="163">IF(OR(F159="Y",F160="Y",F161="Y",F162="Y"),"Y","not met")</f>
        <v>Y</v>
      </c>
      <c r="G163" s="91" t="str">
        <f t="shared" si="163"/>
        <v>Y</v>
      </c>
      <c r="H163" s="91" t="str">
        <f t="shared" si="163"/>
        <v>Y</v>
      </c>
      <c r="I163" s="91" t="str">
        <f t="shared" si="163"/>
        <v>Y</v>
      </c>
      <c r="J163" s="91" t="str">
        <f t="shared" si="163"/>
        <v>Y</v>
      </c>
      <c r="K163" s="91" t="str">
        <f t="shared" si="163"/>
        <v>Y</v>
      </c>
      <c r="L163" s="91" t="str">
        <f t="shared" si="163"/>
        <v>not met</v>
      </c>
      <c r="M163" s="91" t="str">
        <f t="shared" si="163"/>
        <v>not met</v>
      </c>
      <c r="N163" s="91" t="str">
        <f t="shared" si="163"/>
        <v>Y</v>
      </c>
      <c r="O163" s="91" t="str">
        <f t="shared" si="163"/>
        <v>Y</v>
      </c>
      <c r="P163" s="91" t="str">
        <f t="shared" si="163"/>
        <v>Y</v>
      </c>
      <c r="Q163" s="91" t="str">
        <f t="shared" si="163"/>
        <v>Y</v>
      </c>
      <c r="R163" s="91" t="str">
        <f t="shared" si="163"/>
        <v>Y</v>
      </c>
      <c r="S163" s="91" t="str">
        <f t="shared" si="163"/>
        <v>Y</v>
      </c>
      <c r="T163" s="91" t="str">
        <f t="shared" si="163"/>
        <v>Y</v>
      </c>
      <c r="U163" s="91" t="str">
        <f t="shared" si="163"/>
        <v>Y</v>
      </c>
      <c r="V163" s="91" t="str">
        <f t="shared" si="163"/>
        <v>Y</v>
      </c>
      <c r="W163" s="91" t="str">
        <f t="shared" si="163"/>
        <v>Y</v>
      </c>
      <c r="X163" s="91" t="str">
        <f t="shared" si="163"/>
        <v>Y</v>
      </c>
      <c r="Y163" s="91" t="str">
        <f t="shared" si="163"/>
        <v>Y</v>
      </c>
      <c r="Z163" s="91" t="str">
        <f t="shared" ref="Z163" si="164">IF(OR(Z159="Y",Z160="Y",Z161="Y",Z162="Y"),"Y","not met")</f>
        <v>Y</v>
      </c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  <c r="BD163" s="65"/>
      <c r="BE163" s="65"/>
      <c r="BF163" s="65"/>
      <c r="BG163" s="65"/>
      <c r="BH163" s="65"/>
      <c r="BI163" s="65"/>
      <c r="BJ163" s="65"/>
      <c r="BK163" s="65"/>
      <c r="BL163" s="65"/>
      <c r="BM163" s="65"/>
      <c r="BN163" s="65"/>
      <c r="BO163" s="65"/>
      <c r="BP163" s="65"/>
      <c r="BQ163" s="65"/>
      <c r="BR163" s="65"/>
      <c r="BS163" s="65"/>
      <c r="BT163" s="65"/>
      <c r="BU163" s="65"/>
      <c r="BV163" s="65"/>
    </row>
    <row r="164" spans="1:74" s="24" customFormat="1" ht="13.5" x14ac:dyDescent="0.25">
      <c r="A164" s="77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</row>
    <row r="165" spans="1:74" s="26" customFormat="1" ht="13.5" x14ac:dyDescent="0.25"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  <c r="BD165" s="65"/>
      <c r="BE165" s="65"/>
      <c r="BF165" s="65"/>
      <c r="BG165" s="65"/>
      <c r="BH165" s="65"/>
      <c r="BI165" s="65"/>
      <c r="BJ165" s="65"/>
      <c r="BK165" s="65"/>
      <c r="BL165" s="65"/>
      <c r="BM165" s="65"/>
      <c r="BN165" s="65"/>
      <c r="BO165" s="65"/>
      <c r="BP165" s="65"/>
      <c r="BQ165" s="65"/>
      <c r="BR165" s="65"/>
      <c r="BS165" s="65"/>
      <c r="BT165" s="65"/>
      <c r="BU165" s="65"/>
      <c r="BV165" s="65"/>
    </row>
    <row r="166" spans="1:74" s="26" customFormat="1" ht="13.5" x14ac:dyDescent="0.25">
      <c r="A166" s="26" t="s">
        <v>146</v>
      </c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  <c r="BD166" s="65"/>
      <c r="BE166" s="65"/>
      <c r="BF166" s="65"/>
      <c r="BG166" s="65"/>
      <c r="BH166" s="65"/>
      <c r="BI166" s="65"/>
      <c r="BJ166" s="65"/>
      <c r="BK166" s="65"/>
      <c r="BL166" s="65"/>
      <c r="BM166" s="65"/>
      <c r="BN166" s="65"/>
      <c r="BO166" s="65"/>
      <c r="BP166" s="65"/>
      <c r="BQ166" s="65"/>
      <c r="BR166" s="65"/>
      <c r="BS166" s="65"/>
      <c r="BT166" s="65"/>
      <c r="BU166" s="65"/>
      <c r="BV166" s="65"/>
    </row>
    <row r="167" spans="1:74" s="26" customFormat="1" ht="13.5" x14ac:dyDescent="0.25"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5"/>
      <c r="BE167" s="65"/>
      <c r="BF167" s="65"/>
      <c r="BG167" s="65"/>
      <c r="BH167" s="65"/>
      <c r="BI167" s="65"/>
      <c r="BJ167" s="65"/>
      <c r="BK167" s="65"/>
      <c r="BL167" s="65"/>
      <c r="BM167" s="65"/>
      <c r="BN167" s="65"/>
      <c r="BO167" s="65"/>
      <c r="BP167" s="65"/>
      <c r="BQ167" s="65"/>
      <c r="BR167" s="65"/>
      <c r="BS167" s="65"/>
      <c r="BT167" s="65"/>
      <c r="BU167" s="65"/>
      <c r="BV167" s="65"/>
    </row>
    <row r="168" spans="1:74" s="26" customFormat="1" ht="13.5" x14ac:dyDescent="0.25">
      <c r="A168" s="26" t="s">
        <v>16</v>
      </c>
      <c r="B168" s="95" t="e">
        <f t="shared" ref="B168:Z168" si="165">(B66/A66-1)*100</f>
        <v>#VALUE!</v>
      </c>
      <c r="C168" s="40">
        <f t="shared" si="165"/>
        <v>5.2786329516759434</v>
      </c>
      <c r="D168" s="40">
        <f t="shared" si="165"/>
        <v>5.9201577131591909</v>
      </c>
      <c r="E168" s="40">
        <f t="shared" si="165"/>
        <v>3.0195304744887741</v>
      </c>
      <c r="F168" s="40">
        <f t="shared" si="165"/>
        <v>6.7214289585729725</v>
      </c>
      <c r="G168" s="40">
        <f t="shared" si="165"/>
        <v>5.7005168950184038</v>
      </c>
      <c r="H168" s="40">
        <f t="shared" si="165"/>
        <v>5.0706300650245062</v>
      </c>
      <c r="I168" s="40">
        <f t="shared" si="165"/>
        <v>5.3243704652155444</v>
      </c>
      <c r="J168" s="40">
        <f t="shared" si="165"/>
        <v>-4.4806576262355851</v>
      </c>
      <c r="K168" s="40">
        <f t="shared" si="165"/>
        <v>-5.0792159714751817</v>
      </c>
      <c r="L168" s="40">
        <f t="shared" si="165"/>
        <v>1.8100943888138099</v>
      </c>
      <c r="M168" s="40">
        <f t="shared" si="165"/>
        <v>0.3433534711624997</v>
      </c>
      <c r="N168" s="40">
        <f t="shared" si="165"/>
        <v>0.22603578031821225</v>
      </c>
      <c r="O168" s="40">
        <f t="shared" si="165"/>
        <v>1.3515971294799867</v>
      </c>
      <c r="P168" s="40">
        <f t="shared" si="165"/>
        <v>8.5567063166529955</v>
      </c>
      <c r="Q168" s="40">
        <f t="shared" si="165"/>
        <v>25.162353763537347</v>
      </c>
      <c r="R168" s="40">
        <f t="shared" si="165"/>
        <v>3.6780438104941471</v>
      </c>
      <c r="S168" s="40">
        <f t="shared" si="165"/>
        <v>8.1451636384812574</v>
      </c>
      <c r="T168" s="40">
        <f t="shared" si="165"/>
        <v>8.1697971601751398</v>
      </c>
      <c r="U168" s="40">
        <f t="shared" si="165"/>
        <v>5.4591212188417781</v>
      </c>
      <c r="V168" s="40">
        <f t="shared" si="165"/>
        <v>0.71961994123344031</v>
      </c>
      <c r="W168" s="40">
        <f t="shared" si="165"/>
        <v>2.4705972130613318</v>
      </c>
      <c r="X168" s="40">
        <f t="shared" si="165"/>
        <v>2.8311544434387548</v>
      </c>
      <c r="Y168" s="40">
        <f t="shared" si="165"/>
        <v>2.705577453776975</v>
      </c>
      <c r="Z168" s="40">
        <f t="shared" si="165"/>
        <v>2.6477417881965559</v>
      </c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  <c r="BD168" s="65"/>
      <c r="BE168" s="65"/>
      <c r="BF168" s="65"/>
      <c r="BG168" s="65"/>
      <c r="BH168" s="65"/>
      <c r="BI168" s="65"/>
      <c r="BJ168" s="65"/>
      <c r="BK168" s="65"/>
      <c r="BL168" s="65"/>
      <c r="BM168" s="65"/>
      <c r="BN168" s="65"/>
      <c r="BO168" s="65"/>
      <c r="BP168" s="65"/>
      <c r="BQ168" s="65"/>
      <c r="BR168" s="65"/>
      <c r="BS168" s="65"/>
      <c r="BT168" s="65"/>
      <c r="BU168" s="65"/>
      <c r="BV168" s="65"/>
    </row>
    <row r="169" spans="1:74" s="26" customFormat="1" ht="13.5" x14ac:dyDescent="0.25">
      <c r="A169" s="26" t="s">
        <v>108</v>
      </c>
      <c r="B169" s="88" t="e">
        <f t="shared" ref="B169:Z169" si="166">(B67/A67-1)*100</f>
        <v>#VALUE!</v>
      </c>
      <c r="C169" s="38">
        <f t="shared" si="166"/>
        <v>5.7100695339956209</v>
      </c>
      <c r="D169" s="38">
        <f t="shared" si="166"/>
        <v>5.1822587348589577</v>
      </c>
      <c r="E169" s="38">
        <f t="shared" si="166"/>
        <v>5.1998614105627672</v>
      </c>
      <c r="F169" s="38">
        <f t="shared" si="166"/>
        <v>5.1725514999363176</v>
      </c>
      <c r="G169" s="38">
        <f t="shared" si="166"/>
        <v>4.4124257258089328</v>
      </c>
      <c r="H169" s="38">
        <f t="shared" si="166"/>
        <v>3.6481979314185509</v>
      </c>
      <c r="I169" s="38">
        <f t="shared" si="166"/>
        <v>2.5291100849846204</v>
      </c>
      <c r="J169" s="38">
        <f t="shared" si="166"/>
        <v>1.6216159080398862</v>
      </c>
      <c r="K169" s="38">
        <f t="shared" si="166"/>
        <v>2.5421935003391072</v>
      </c>
      <c r="L169" s="38">
        <f t="shared" si="166"/>
        <v>3.2137666706649304</v>
      </c>
      <c r="M169" s="38">
        <f t="shared" si="166"/>
        <v>1.9710523794197021</v>
      </c>
      <c r="N169" s="38">
        <f t="shared" si="166"/>
        <v>0.96204305484812735</v>
      </c>
      <c r="O169" s="38">
        <f t="shared" si="166"/>
        <v>1.8668522397883525</v>
      </c>
      <c r="P169" s="38">
        <f t="shared" si="166"/>
        <v>4.0077657474965278</v>
      </c>
      <c r="Q169" s="38">
        <f t="shared" si="166"/>
        <v>23.418654870900468</v>
      </c>
      <c r="R169" s="38">
        <f t="shared" si="166"/>
        <v>2.8077231092464627</v>
      </c>
      <c r="S169" s="38">
        <f t="shared" si="166"/>
        <v>8.3151934836428687</v>
      </c>
      <c r="T169" s="38">
        <f t="shared" si="166"/>
        <v>5.6113525094206418</v>
      </c>
      <c r="U169" s="38">
        <f t="shared" si="166"/>
        <v>4.1794954083450797</v>
      </c>
      <c r="V169" s="38">
        <f t="shared" si="166"/>
        <v>2.0524534926417148</v>
      </c>
      <c r="W169" s="38">
        <f t="shared" si="166"/>
        <v>1.5938764875630618</v>
      </c>
      <c r="X169" s="38">
        <f t="shared" si="166"/>
        <v>2.0913294309359953</v>
      </c>
      <c r="Y169" s="38">
        <f t="shared" si="166"/>
        <v>2.0671779350907027</v>
      </c>
      <c r="Z169" s="38">
        <f t="shared" si="166"/>
        <v>2.4108549000401824</v>
      </c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  <c r="BD169" s="65"/>
      <c r="BE169" s="65"/>
      <c r="BF169" s="65"/>
      <c r="BG169" s="65"/>
      <c r="BH169" s="65"/>
      <c r="BI169" s="65"/>
      <c r="BJ169" s="65"/>
      <c r="BK169" s="65"/>
      <c r="BL169" s="65"/>
      <c r="BM169" s="65"/>
      <c r="BN169" s="65"/>
      <c r="BO169" s="65"/>
      <c r="BP169" s="65"/>
      <c r="BQ169" s="65"/>
      <c r="BR169" s="65"/>
      <c r="BS169" s="65"/>
      <c r="BT169" s="65"/>
      <c r="BU169" s="65"/>
      <c r="BV169" s="65"/>
    </row>
    <row r="170" spans="1:74" s="26" customFormat="1" ht="13.5" x14ac:dyDescent="0.25">
      <c r="A170" s="26" t="s">
        <v>72</v>
      </c>
      <c r="B170" s="89">
        <f t="shared" ref="B170:Z170" si="167">B69</f>
        <v>4.2775785000000006</v>
      </c>
      <c r="C170" s="79">
        <f t="shared" si="167"/>
        <v>3.8524235</v>
      </c>
      <c r="D170" s="79">
        <f t="shared" si="167"/>
        <v>4.5818095000000003</v>
      </c>
      <c r="E170" s="79">
        <f t="shared" si="167"/>
        <v>2.4145655000000001</v>
      </c>
      <c r="F170" s="79">
        <f t="shared" si="167"/>
        <v>3.9214595000000001</v>
      </c>
      <c r="G170" s="79">
        <f t="shared" si="167"/>
        <v>5.2034514999999999</v>
      </c>
      <c r="H170" s="79">
        <f t="shared" si="167"/>
        <v>6.6476740000000003</v>
      </c>
      <c r="I170" s="79">
        <f t="shared" si="167"/>
        <v>9.5546825000000002</v>
      </c>
      <c r="J170" s="79">
        <f t="shared" si="167"/>
        <v>2.9798315</v>
      </c>
      <c r="K170" s="79">
        <f t="shared" si="167"/>
        <v>-4.6568065000000001</v>
      </c>
      <c r="L170" s="79">
        <f t="shared" si="167"/>
        <v>-5.9260335000000008</v>
      </c>
      <c r="M170" s="79">
        <f t="shared" si="167"/>
        <v>-7.4266850000000009</v>
      </c>
      <c r="N170" s="79">
        <f t="shared" si="167"/>
        <v>-8.1260674999999996</v>
      </c>
      <c r="O170" s="79">
        <f t="shared" si="167"/>
        <v>-8.6066289999999999</v>
      </c>
      <c r="P170" s="79">
        <f t="shared" si="167"/>
        <v>-4.6151774999999997</v>
      </c>
      <c r="Q170" s="79">
        <f t="shared" si="167"/>
        <v>-3.2627364999999999</v>
      </c>
      <c r="R170" s="79">
        <f t="shared" si="167"/>
        <v>-2.4043945</v>
      </c>
      <c r="S170" s="79">
        <f t="shared" si="167"/>
        <v>-2.5350075000000003</v>
      </c>
      <c r="T170" s="79">
        <f t="shared" si="167"/>
        <v>-0.17638050000000005</v>
      </c>
      <c r="U170" s="79">
        <f t="shared" si="167"/>
        <v>1.0356654999999999</v>
      </c>
      <c r="V170" s="79">
        <f t="shared" si="167"/>
        <v>-0.29526149999999995</v>
      </c>
      <c r="W170" s="79">
        <f t="shared" si="167"/>
        <v>0.54706750000000004</v>
      </c>
      <c r="X170" s="79">
        <f t="shared" si="167"/>
        <v>1.2654974999999999</v>
      </c>
      <c r="Y170" s="79">
        <f t="shared" si="167"/>
        <v>1.889877</v>
      </c>
      <c r="Z170" s="79">
        <f t="shared" si="167"/>
        <v>2.1167075</v>
      </c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  <c r="BD170" s="65"/>
      <c r="BE170" s="65"/>
      <c r="BF170" s="65"/>
      <c r="BG170" s="65"/>
      <c r="BH170" s="65"/>
      <c r="BI170" s="65"/>
      <c r="BJ170" s="65"/>
      <c r="BK170" s="65"/>
      <c r="BL170" s="65"/>
      <c r="BM170" s="65"/>
      <c r="BN170" s="65"/>
      <c r="BO170" s="65"/>
      <c r="BP170" s="65"/>
      <c r="BQ170" s="65"/>
      <c r="BR170" s="65"/>
      <c r="BS170" s="65"/>
      <c r="BT170" s="65"/>
      <c r="BU170" s="65"/>
      <c r="BV170" s="65"/>
    </row>
    <row r="171" spans="1:74" s="26" customFormat="1" ht="13.5" x14ac:dyDescent="0.25">
      <c r="A171" s="26" t="s">
        <v>129</v>
      </c>
      <c r="B171" s="89">
        <f t="shared" ref="B171:Z171" si="168">B63/B65*100</f>
        <v>36.073076213323489</v>
      </c>
      <c r="C171" s="26">
        <f t="shared" si="168"/>
        <v>33.23903934928952</v>
      </c>
      <c r="D171" s="26">
        <f t="shared" si="168"/>
        <v>30.551632833186233</v>
      </c>
      <c r="E171" s="26">
        <f t="shared" si="168"/>
        <v>29.926626178240678</v>
      </c>
      <c r="F171" s="26">
        <f t="shared" si="168"/>
        <v>28.215161742761442</v>
      </c>
      <c r="G171" s="26">
        <f t="shared" si="168"/>
        <v>26.076609846815561</v>
      </c>
      <c r="H171" s="26">
        <f t="shared" si="168"/>
        <v>23.618063288539087</v>
      </c>
      <c r="I171" s="26">
        <f t="shared" si="168"/>
        <v>23.908479630024036</v>
      </c>
      <c r="J171" s="26">
        <f t="shared" si="168"/>
        <v>42.403698161038292</v>
      </c>
      <c r="K171" s="26">
        <f t="shared" si="168"/>
        <v>61.543435958636337</v>
      </c>
      <c r="L171" s="26">
        <f t="shared" si="168"/>
        <v>85.988362387618338</v>
      </c>
      <c r="M171" s="26">
        <f t="shared" si="168"/>
        <v>111.06382480521229</v>
      </c>
      <c r="N171" s="26">
        <f t="shared" si="168"/>
        <v>119.94106763516754</v>
      </c>
      <c r="O171" s="26">
        <f t="shared" si="168"/>
        <v>119.86574715714595</v>
      </c>
      <c r="P171" s="26">
        <f t="shared" si="168"/>
        <v>104.39384451128745</v>
      </c>
      <c r="Q171" s="26">
        <f t="shared" si="168"/>
        <v>76.723242515209279</v>
      </c>
      <c r="R171" s="26">
        <f t="shared" si="168"/>
        <v>73.875899942580347</v>
      </c>
      <c r="S171" s="26">
        <f t="shared" si="168"/>
        <v>67.769098478448896</v>
      </c>
      <c r="T171" s="26">
        <f t="shared" si="168"/>
        <v>63.566001518340443</v>
      </c>
      <c r="U171" s="26">
        <f t="shared" si="168"/>
        <v>59.32399568867892</v>
      </c>
      <c r="V171" s="26">
        <f t="shared" si="168"/>
        <v>56.494864404390796</v>
      </c>
      <c r="W171" s="26">
        <f t="shared" si="168"/>
        <v>56.350334720582985</v>
      </c>
      <c r="X171" s="26">
        <f t="shared" si="168"/>
        <v>54.394449453288516</v>
      </c>
      <c r="Y171" s="26">
        <f t="shared" si="168"/>
        <v>53.775398821895934</v>
      </c>
      <c r="Z171" s="26">
        <f t="shared" si="168"/>
        <v>52.963436474814088</v>
      </c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  <c r="BD171" s="65"/>
      <c r="BE171" s="65"/>
      <c r="BF171" s="65"/>
      <c r="BG171" s="65"/>
      <c r="BH171" s="65"/>
      <c r="BI171" s="65"/>
      <c r="BJ171" s="65"/>
      <c r="BK171" s="65"/>
      <c r="BL171" s="65"/>
      <c r="BM171" s="65"/>
      <c r="BN171" s="65"/>
      <c r="BO171" s="65"/>
      <c r="BP171" s="65"/>
      <c r="BQ171" s="65"/>
      <c r="BR171" s="65"/>
      <c r="BS171" s="65"/>
      <c r="BT171" s="65"/>
      <c r="BU171" s="65"/>
      <c r="BV171" s="65"/>
    </row>
    <row r="172" spans="1:74" s="26" customFormat="1" ht="13.5" x14ac:dyDescent="0.25">
      <c r="A172" s="77" t="s">
        <v>147</v>
      </c>
      <c r="B172" s="89" t="s">
        <v>148</v>
      </c>
      <c r="C172" s="89" t="s">
        <v>148</v>
      </c>
      <c r="D172" s="89" t="s">
        <v>148</v>
      </c>
      <c r="E172" s="89" t="s">
        <v>148</v>
      </c>
      <c r="F172" s="89" t="s">
        <v>148</v>
      </c>
      <c r="G172" s="89" t="s">
        <v>148</v>
      </c>
      <c r="H172" s="89" t="s">
        <v>148</v>
      </c>
      <c r="I172" s="89" t="s">
        <v>148</v>
      </c>
      <c r="J172" s="89" t="s">
        <v>148</v>
      </c>
      <c r="K172" s="89" t="s">
        <v>148</v>
      </c>
      <c r="L172" s="89" t="s">
        <v>148</v>
      </c>
      <c r="M172" s="89" t="s">
        <v>148</v>
      </c>
      <c r="N172" s="89" t="s">
        <v>148</v>
      </c>
      <c r="O172" s="89" t="s">
        <v>148</v>
      </c>
      <c r="P172" s="89" t="s">
        <v>148</v>
      </c>
      <c r="Q172" s="89" t="s">
        <v>148</v>
      </c>
      <c r="R172" s="89" t="s">
        <v>148</v>
      </c>
      <c r="S172" s="89" t="s">
        <v>148</v>
      </c>
      <c r="T172" s="89" t="s">
        <v>148</v>
      </c>
      <c r="U172" s="89" t="s">
        <v>148</v>
      </c>
      <c r="V172" s="89" t="s">
        <v>148</v>
      </c>
      <c r="W172" s="89" t="s">
        <v>148</v>
      </c>
      <c r="X172" s="89" t="s">
        <v>148</v>
      </c>
      <c r="Y172" s="89" t="s">
        <v>148</v>
      </c>
      <c r="Z172" s="89" t="s">
        <v>148</v>
      </c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B172" s="65"/>
      <c r="BC172" s="65"/>
      <c r="BD172" s="65"/>
      <c r="BE172" s="65"/>
      <c r="BF172" s="65"/>
      <c r="BG172" s="65"/>
      <c r="BH172" s="65"/>
      <c r="BI172" s="65"/>
      <c r="BJ172" s="65"/>
      <c r="BK172" s="65"/>
      <c r="BL172" s="65"/>
      <c r="BM172" s="65"/>
      <c r="BN172" s="65"/>
      <c r="BO172" s="65"/>
      <c r="BP172" s="65"/>
      <c r="BQ172" s="65"/>
      <c r="BR172" s="65"/>
      <c r="BS172" s="65"/>
      <c r="BT172" s="65"/>
      <c r="BU172" s="65"/>
      <c r="BV172" s="65"/>
    </row>
    <row r="173" spans="1:74" s="26" customFormat="1" ht="13.5" x14ac:dyDescent="0.25">
      <c r="A173" s="68"/>
      <c r="B173" s="79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  <c r="BD173" s="65"/>
      <c r="BE173" s="65"/>
      <c r="BF173" s="65"/>
      <c r="BG173" s="65"/>
      <c r="BH173" s="65"/>
      <c r="BI173" s="65"/>
      <c r="BJ173" s="65"/>
      <c r="BK173" s="65"/>
      <c r="BL173" s="65"/>
      <c r="BM173" s="65"/>
      <c r="BN173" s="65"/>
      <c r="BO173" s="65"/>
      <c r="BP173" s="65"/>
      <c r="BQ173" s="65"/>
      <c r="BR173" s="65"/>
      <c r="BS173" s="65"/>
      <c r="BT173" s="65"/>
      <c r="BU173" s="65"/>
      <c r="BV173" s="65"/>
    </row>
    <row r="174" spans="1:74" s="26" customFormat="1" ht="13.5" x14ac:dyDescent="0.25">
      <c r="A174" s="26" t="s">
        <v>149</v>
      </c>
      <c r="B174" s="79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C174" s="65"/>
      <c r="BD174" s="65"/>
      <c r="BE174" s="65"/>
      <c r="BF174" s="65"/>
      <c r="BG174" s="65"/>
      <c r="BH174" s="65"/>
      <c r="BI174" s="65"/>
      <c r="BJ174" s="65"/>
      <c r="BK174" s="65"/>
      <c r="BL174" s="65"/>
      <c r="BM174" s="65"/>
      <c r="BN174" s="65"/>
      <c r="BO174" s="65"/>
      <c r="BP174" s="65"/>
      <c r="BQ174" s="65"/>
      <c r="BR174" s="65"/>
      <c r="BS174" s="65"/>
      <c r="BT174" s="65"/>
      <c r="BU174" s="65"/>
      <c r="BV174" s="65"/>
    </row>
    <row r="175" spans="1:74" s="26" customFormat="1" ht="13.5" x14ac:dyDescent="0.25">
      <c r="A175" s="26" t="s">
        <v>150</v>
      </c>
      <c r="B175" s="91" t="e">
        <f t="shared" ref="B175:O175" si="169">IF(OR(B168&lt;0,B170&lt;-4),"Y","-")</f>
        <v>#VALUE!</v>
      </c>
      <c r="C175" s="91" t="str">
        <f t="shared" si="169"/>
        <v>-</v>
      </c>
      <c r="D175" s="91" t="str">
        <f t="shared" si="169"/>
        <v>-</v>
      </c>
      <c r="E175" s="91" t="str">
        <f t="shared" si="169"/>
        <v>-</v>
      </c>
      <c r="F175" s="91" t="str">
        <f t="shared" si="169"/>
        <v>-</v>
      </c>
      <c r="G175" s="91" t="str">
        <f t="shared" si="169"/>
        <v>-</v>
      </c>
      <c r="H175" s="91" t="str">
        <f t="shared" si="169"/>
        <v>-</v>
      </c>
      <c r="I175" s="91" t="str">
        <f t="shared" si="169"/>
        <v>-</v>
      </c>
      <c r="J175" s="91" t="str">
        <f t="shared" si="169"/>
        <v>Y</v>
      </c>
      <c r="K175" s="91" t="str">
        <f t="shared" si="169"/>
        <v>Y</v>
      </c>
      <c r="L175" s="91" t="str">
        <f t="shared" si="169"/>
        <v>Y</v>
      </c>
      <c r="M175" s="91" t="str">
        <f t="shared" si="169"/>
        <v>Y</v>
      </c>
      <c r="N175" s="91" t="str">
        <f t="shared" si="169"/>
        <v>Y</v>
      </c>
      <c r="O175" s="91" t="str">
        <f t="shared" si="169"/>
        <v>Y</v>
      </c>
      <c r="P175" s="91" t="str">
        <f>IF(OR(P168&lt;0,P170&lt;-4),"Y","-")</f>
        <v>Y</v>
      </c>
      <c r="Q175" s="91" t="str">
        <f>IF(OR(Q168&lt;0,Q170&lt;-4),"Y","-")</f>
        <v>-</v>
      </c>
      <c r="R175" s="91" t="str">
        <f t="shared" ref="R175:W175" si="170">IF(OR(R168&lt;0,R170&lt;-4),"Y","-")</f>
        <v>-</v>
      </c>
      <c r="S175" s="91" t="str">
        <f t="shared" si="170"/>
        <v>-</v>
      </c>
      <c r="T175" s="91" t="str">
        <f t="shared" si="170"/>
        <v>-</v>
      </c>
      <c r="U175" s="91" t="str">
        <f t="shared" si="170"/>
        <v>-</v>
      </c>
      <c r="V175" s="91" t="str">
        <f t="shared" si="170"/>
        <v>-</v>
      </c>
      <c r="W175" s="91" t="str">
        <f t="shared" si="170"/>
        <v>-</v>
      </c>
      <c r="X175" s="91" t="str">
        <f>IF(OR(X168&lt;0,X170&lt;-4),"Y","-")</f>
        <v>-</v>
      </c>
      <c r="Y175" s="91" t="str">
        <f>IF(OR(Y168&lt;0,Y170&lt;-4),"Y","-")</f>
        <v>-</v>
      </c>
      <c r="Z175" s="91" t="str">
        <f>IF(OR(Z168&lt;0,Z170&lt;-4),"Y","-")</f>
        <v>-</v>
      </c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  <c r="AV175" s="65"/>
      <c r="AW175" s="65"/>
      <c r="AX175" s="65"/>
      <c r="AY175" s="65"/>
      <c r="AZ175" s="65"/>
      <c r="BA175" s="65"/>
      <c r="BB175" s="65"/>
      <c r="BC175" s="65"/>
      <c r="BD175" s="65"/>
      <c r="BE175" s="65"/>
      <c r="BF175" s="65"/>
      <c r="BG175" s="65"/>
      <c r="BH175" s="65"/>
      <c r="BI175" s="65"/>
      <c r="BJ175" s="65"/>
      <c r="BK175" s="65"/>
      <c r="BL175" s="65"/>
      <c r="BM175" s="65"/>
      <c r="BN175" s="65"/>
      <c r="BO175" s="65"/>
      <c r="BP175" s="65"/>
      <c r="BQ175" s="65"/>
      <c r="BR175" s="65"/>
      <c r="BS175" s="65"/>
      <c r="BT175" s="65"/>
      <c r="BU175" s="65"/>
      <c r="BV175" s="65"/>
    </row>
    <row r="176" spans="1:74" s="26" customFormat="1" ht="13.5" x14ac:dyDescent="0.25">
      <c r="A176" s="26" t="s">
        <v>151</v>
      </c>
      <c r="B176" s="91" t="str">
        <f t="shared" ref="B176:O176" si="171">IF(AND(B170&gt;=-4,B170&lt;-3),"Y","-")</f>
        <v>-</v>
      </c>
      <c r="C176" s="91" t="str">
        <f t="shared" si="171"/>
        <v>-</v>
      </c>
      <c r="D176" s="91" t="str">
        <f t="shared" si="171"/>
        <v>-</v>
      </c>
      <c r="E176" s="91" t="str">
        <f t="shared" si="171"/>
        <v>-</v>
      </c>
      <c r="F176" s="91" t="str">
        <f t="shared" si="171"/>
        <v>-</v>
      </c>
      <c r="G176" s="91" t="str">
        <f t="shared" si="171"/>
        <v>-</v>
      </c>
      <c r="H176" s="91" t="str">
        <f t="shared" si="171"/>
        <v>-</v>
      </c>
      <c r="I176" s="91" t="str">
        <f t="shared" si="171"/>
        <v>-</v>
      </c>
      <c r="J176" s="91" t="str">
        <f t="shared" si="171"/>
        <v>-</v>
      </c>
      <c r="K176" s="91" t="str">
        <f t="shared" si="171"/>
        <v>-</v>
      </c>
      <c r="L176" s="91" t="str">
        <f t="shared" si="171"/>
        <v>-</v>
      </c>
      <c r="M176" s="91" t="str">
        <f t="shared" si="171"/>
        <v>-</v>
      </c>
      <c r="N176" s="91" t="str">
        <f t="shared" si="171"/>
        <v>-</v>
      </c>
      <c r="O176" s="91" t="str">
        <f t="shared" si="171"/>
        <v>-</v>
      </c>
      <c r="P176" s="91" t="str">
        <f>IF(AND(P170&gt;=-4,P170&lt;-3),"Y","-")</f>
        <v>-</v>
      </c>
      <c r="Q176" s="91" t="str">
        <f>IF(AND(Q170&gt;=-4,Q170&lt;-3),"Y","-")</f>
        <v>Y</v>
      </c>
      <c r="R176" s="91" t="str">
        <f t="shared" ref="R176:W176" si="172">IF(AND(R170&gt;=-4,R170&lt;-3),"Y","-")</f>
        <v>-</v>
      </c>
      <c r="S176" s="91" t="str">
        <f t="shared" si="172"/>
        <v>-</v>
      </c>
      <c r="T176" s="91" t="str">
        <f t="shared" si="172"/>
        <v>-</v>
      </c>
      <c r="U176" s="91" t="str">
        <f t="shared" si="172"/>
        <v>-</v>
      </c>
      <c r="V176" s="91" t="str">
        <f t="shared" si="172"/>
        <v>-</v>
      </c>
      <c r="W176" s="91" t="str">
        <f t="shared" si="172"/>
        <v>-</v>
      </c>
      <c r="X176" s="91" t="str">
        <f>IF(AND(X170&gt;=-4,X170&lt;-3),"Y","-")</f>
        <v>-</v>
      </c>
      <c r="Y176" s="91" t="str">
        <f>IF(AND(Y170&gt;=-4,Y170&lt;-3),"Y","-")</f>
        <v>-</v>
      </c>
      <c r="Z176" s="91" t="str">
        <f>IF(AND(Z170&gt;=-4,Z170&lt;-3),"Y","-")</f>
        <v>-</v>
      </c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  <c r="BD176" s="65"/>
      <c r="BE176" s="65"/>
      <c r="BF176" s="65"/>
      <c r="BG176" s="65"/>
      <c r="BH176" s="65"/>
      <c r="BI176" s="65"/>
      <c r="BJ176" s="65"/>
      <c r="BK176" s="65"/>
      <c r="BL176" s="65"/>
      <c r="BM176" s="65"/>
      <c r="BN176" s="65"/>
      <c r="BO176" s="65"/>
      <c r="BP176" s="65"/>
      <c r="BQ176" s="65"/>
      <c r="BR176" s="65"/>
      <c r="BS176" s="65"/>
      <c r="BT176" s="65"/>
      <c r="BU176" s="65"/>
      <c r="BV176" s="65"/>
    </row>
    <row r="177" spans="1:74" s="26" customFormat="1" ht="13.5" x14ac:dyDescent="0.25">
      <c r="A177" s="26" t="s">
        <v>152</v>
      </c>
      <c r="B177" s="91" t="str">
        <f t="shared" ref="B177:O177" si="173">IF(AND(B170&gt;=-3,B170&lt;-1.5),"Y","-")</f>
        <v>-</v>
      </c>
      <c r="C177" s="91" t="str">
        <f t="shared" si="173"/>
        <v>-</v>
      </c>
      <c r="D177" s="91" t="str">
        <f t="shared" si="173"/>
        <v>-</v>
      </c>
      <c r="E177" s="91" t="str">
        <f t="shared" si="173"/>
        <v>-</v>
      </c>
      <c r="F177" s="91" t="str">
        <f t="shared" si="173"/>
        <v>-</v>
      </c>
      <c r="G177" s="91" t="str">
        <f t="shared" si="173"/>
        <v>-</v>
      </c>
      <c r="H177" s="91" t="str">
        <f t="shared" si="173"/>
        <v>-</v>
      </c>
      <c r="I177" s="91" t="str">
        <f t="shared" si="173"/>
        <v>-</v>
      </c>
      <c r="J177" s="91" t="str">
        <f t="shared" si="173"/>
        <v>-</v>
      </c>
      <c r="K177" s="91" t="str">
        <f t="shared" si="173"/>
        <v>-</v>
      </c>
      <c r="L177" s="91" t="str">
        <f t="shared" si="173"/>
        <v>-</v>
      </c>
      <c r="M177" s="91" t="str">
        <f t="shared" si="173"/>
        <v>-</v>
      </c>
      <c r="N177" s="91" t="str">
        <f t="shared" si="173"/>
        <v>-</v>
      </c>
      <c r="O177" s="91" t="str">
        <f t="shared" si="173"/>
        <v>-</v>
      </c>
      <c r="P177" s="91" t="str">
        <f>IF(AND(P170&gt;=-3,P170&lt;-1.5),"Y","-")</f>
        <v>-</v>
      </c>
      <c r="Q177" s="91" t="str">
        <f>IF(AND(Q170&gt;=-3,Q170&lt;-1.5),"Y","-")</f>
        <v>-</v>
      </c>
      <c r="R177" s="91" t="str">
        <f t="shared" ref="R177:W177" si="174">IF(AND(R170&gt;=-3,R170&lt;-1.5),"Y","-")</f>
        <v>Y</v>
      </c>
      <c r="S177" s="91" t="str">
        <f t="shared" si="174"/>
        <v>Y</v>
      </c>
      <c r="T177" s="91" t="str">
        <f t="shared" si="174"/>
        <v>-</v>
      </c>
      <c r="U177" s="91" t="str">
        <f t="shared" si="174"/>
        <v>-</v>
      </c>
      <c r="V177" s="91" t="str">
        <f t="shared" si="174"/>
        <v>-</v>
      </c>
      <c r="W177" s="91" t="str">
        <f t="shared" si="174"/>
        <v>-</v>
      </c>
      <c r="X177" s="91" t="str">
        <f>IF(AND(X170&gt;=-3,X170&lt;-1.5),"Y","-")</f>
        <v>-</v>
      </c>
      <c r="Y177" s="91" t="str">
        <f>IF(AND(Y170&gt;=-3,Y170&lt;-1.5),"Y","-")</f>
        <v>-</v>
      </c>
      <c r="Z177" s="91" t="str">
        <f>IF(AND(Z170&gt;=-3,Z170&lt;-1.5),"Y","-")</f>
        <v>-</v>
      </c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  <c r="AV177" s="65"/>
      <c r="AW177" s="65"/>
      <c r="AX177" s="65"/>
      <c r="AY177" s="65"/>
      <c r="AZ177" s="65"/>
      <c r="BA177" s="65"/>
      <c r="BB177" s="65"/>
      <c r="BC177" s="65"/>
      <c r="BD177" s="65"/>
      <c r="BE177" s="65"/>
      <c r="BF177" s="65"/>
      <c r="BG177" s="65"/>
      <c r="BH177" s="65"/>
      <c r="BI177" s="65"/>
      <c r="BJ177" s="65"/>
      <c r="BK177" s="65"/>
      <c r="BL177" s="65"/>
      <c r="BM177" s="65"/>
      <c r="BN177" s="65"/>
      <c r="BO177" s="65"/>
      <c r="BP177" s="65"/>
      <c r="BQ177" s="65"/>
      <c r="BR177" s="65"/>
      <c r="BS177" s="65"/>
      <c r="BT177" s="65"/>
      <c r="BU177" s="65"/>
      <c r="BV177" s="65"/>
    </row>
    <row r="178" spans="1:74" s="26" customFormat="1" ht="13.5" x14ac:dyDescent="0.25">
      <c r="A178" s="26" t="s">
        <v>153</v>
      </c>
      <c r="B178" s="91" t="str">
        <f t="shared" ref="B178:O178" si="175">IF(AND(B170&gt;=-1.5,B170&lt;1.5),"Y","-")</f>
        <v>-</v>
      </c>
      <c r="C178" s="91" t="str">
        <f t="shared" si="175"/>
        <v>-</v>
      </c>
      <c r="D178" s="91" t="str">
        <f t="shared" si="175"/>
        <v>-</v>
      </c>
      <c r="E178" s="91" t="str">
        <f t="shared" si="175"/>
        <v>-</v>
      </c>
      <c r="F178" s="91" t="str">
        <f t="shared" si="175"/>
        <v>-</v>
      </c>
      <c r="G178" s="91" t="str">
        <f t="shared" si="175"/>
        <v>-</v>
      </c>
      <c r="H178" s="91" t="str">
        <f t="shared" si="175"/>
        <v>-</v>
      </c>
      <c r="I178" s="91" t="str">
        <f t="shared" si="175"/>
        <v>-</v>
      </c>
      <c r="J178" s="91" t="str">
        <f t="shared" si="175"/>
        <v>-</v>
      </c>
      <c r="K178" s="91" t="str">
        <f t="shared" si="175"/>
        <v>-</v>
      </c>
      <c r="L178" s="91" t="str">
        <f t="shared" si="175"/>
        <v>-</v>
      </c>
      <c r="M178" s="91" t="str">
        <f t="shared" si="175"/>
        <v>-</v>
      </c>
      <c r="N178" s="91" t="str">
        <f t="shared" si="175"/>
        <v>-</v>
      </c>
      <c r="O178" s="91" t="str">
        <f t="shared" si="175"/>
        <v>-</v>
      </c>
      <c r="P178" s="91" t="str">
        <f>IF(AND(P170&gt;=-1.5,P170&lt;1.5),"Y","-")</f>
        <v>-</v>
      </c>
      <c r="Q178" s="91" t="str">
        <f>IF(AND(Q170&gt;=-1.5,Q170&lt;1.5),"Y","-")</f>
        <v>-</v>
      </c>
      <c r="R178" s="91" t="str">
        <f t="shared" ref="R178:W178" si="176">IF(AND(R170&gt;=-1.5,R170&lt;1.5),"Y","-")</f>
        <v>-</v>
      </c>
      <c r="S178" s="91" t="str">
        <f t="shared" si="176"/>
        <v>-</v>
      </c>
      <c r="T178" s="91" t="str">
        <f t="shared" si="176"/>
        <v>Y</v>
      </c>
      <c r="U178" s="91" t="str">
        <f t="shared" si="176"/>
        <v>Y</v>
      </c>
      <c r="V178" s="91" t="str">
        <f t="shared" si="176"/>
        <v>Y</v>
      </c>
      <c r="W178" s="91" t="str">
        <f t="shared" si="176"/>
        <v>Y</v>
      </c>
      <c r="X178" s="91" t="str">
        <f>IF(AND(X170&gt;=-1.5,X170&lt;1.5),"Y","-")</f>
        <v>Y</v>
      </c>
      <c r="Y178" s="91" t="str">
        <f>IF(AND(Y170&gt;=-1.5,Y170&lt;1.5),"Y","-")</f>
        <v>-</v>
      </c>
      <c r="Z178" s="91" t="str">
        <f>IF(AND(Z170&gt;=-1.5,Z170&lt;1.5),"Y","-")</f>
        <v>-</v>
      </c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  <c r="BD178" s="65"/>
      <c r="BE178" s="65"/>
      <c r="BF178" s="65"/>
      <c r="BG178" s="65"/>
      <c r="BH178" s="65"/>
      <c r="BI178" s="65"/>
      <c r="BJ178" s="65"/>
      <c r="BK178" s="65"/>
      <c r="BL178" s="65"/>
      <c r="BM178" s="65"/>
      <c r="BN178" s="65"/>
      <c r="BO178" s="65"/>
      <c r="BP178" s="65"/>
      <c r="BQ178" s="65"/>
      <c r="BR178" s="65"/>
      <c r="BS178" s="65"/>
      <c r="BT178" s="65"/>
      <c r="BU178" s="65"/>
      <c r="BV178" s="65"/>
    </row>
    <row r="179" spans="1:74" s="26" customFormat="1" ht="13.5" x14ac:dyDescent="0.25">
      <c r="A179" s="26" t="s">
        <v>154</v>
      </c>
      <c r="B179" s="91" t="str">
        <f t="shared" ref="B179:O179" si="177">IF(B170&gt;=1.5,"Y","-")</f>
        <v>Y</v>
      </c>
      <c r="C179" s="91" t="str">
        <f t="shared" si="177"/>
        <v>Y</v>
      </c>
      <c r="D179" s="91" t="str">
        <f t="shared" si="177"/>
        <v>Y</v>
      </c>
      <c r="E179" s="91" t="str">
        <f t="shared" si="177"/>
        <v>Y</v>
      </c>
      <c r="F179" s="91" t="str">
        <f t="shared" si="177"/>
        <v>Y</v>
      </c>
      <c r="G179" s="91" t="str">
        <f t="shared" si="177"/>
        <v>Y</v>
      </c>
      <c r="H179" s="91" t="str">
        <f t="shared" si="177"/>
        <v>Y</v>
      </c>
      <c r="I179" s="91" t="str">
        <f t="shared" si="177"/>
        <v>Y</v>
      </c>
      <c r="J179" s="91" t="str">
        <f t="shared" si="177"/>
        <v>Y</v>
      </c>
      <c r="K179" s="91" t="str">
        <f t="shared" si="177"/>
        <v>-</v>
      </c>
      <c r="L179" s="91" t="str">
        <f t="shared" si="177"/>
        <v>-</v>
      </c>
      <c r="M179" s="91" t="str">
        <f t="shared" si="177"/>
        <v>-</v>
      </c>
      <c r="N179" s="91" t="str">
        <f t="shared" si="177"/>
        <v>-</v>
      </c>
      <c r="O179" s="91" t="str">
        <f t="shared" si="177"/>
        <v>-</v>
      </c>
      <c r="P179" s="91" t="str">
        <f>IF(P170&gt;=1.5,"Y","-")</f>
        <v>-</v>
      </c>
      <c r="Q179" s="91" t="str">
        <f>IF(Q170&gt;=1.5,"Y","-")</f>
        <v>-</v>
      </c>
      <c r="R179" s="91" t="str">
        <f t="shared" ref="R179:W179" si="178">IF(R170&gt;=1.5,"Y","-")</f>
        <v>-</v>
      </c>
      <c r="S179" s="91" t="str">
        <f t="shared" si="178"/>
        <v>-</v>
      </c>
      <c r="T179" s="91" t="str">
        <f t="shared" si="178"/>
        <v>-</v>
      </c>
      <c r="U179" s="91" t="str">
        <f t="shared" si="178"/>
        <v>-</v>
      </c>
      <c r="V179" s="91" t="str">
        <f t="shared" si="178"/>
        <v>-</v>
      </c>
      <c r="W179" s="91" t="str">
        <f t="shared" si="178"/>
        <v>-</v>
      </c>
      <c r="X179" s="91" t="str">
        <f>IF(X170&gt;=1.5,"Y","-")</f>
        <v>-</v>
      </c>
      <c r="Y179" s="91" t="str">
        <f>IF(Y170&gt;=1.5,"Y","-")</f>
        <v>Y</v>
      </c>
      <c r="Z179" s="91" t="str">
        <f>IF(Z170&gt;=1.5,"Y","-")</f>
        <v>Y</v>
      </c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V179" s="65"/>
      <c r="AW179" s="65"/>
      <c r="AX179" s="65"/>
      <c r="AY179" s="65"/>
      <c r="AZ179" s="65"/>
      <c r="BA179" s="65"/>
      <c r="BB179" s="65"/>
      <c r="BC179" s="65"/>
      <c r="BD179" s="65"/>
      <c r="BE179" s="65"/>
      <c r="BF179" s="65"/>
      <c r="BG179" s="65"/>
      <c r="BH179" s="65"/>
      <c r="BI179" s="65"/>
      <c r="BJ179" s="65"/>
      <c r="BK179" s="65"/>
      <c r="BL179" s="65"/>
      <c r="BM179" s="65"/>
      <c r="BN179" s="65"/>
      <c r="BO179" s="65"/>
      <c r="BP179" s="65"/>
      <c r="BQ179" s="65"/>
      <c r="BR179" s="65"/>
      <c r="BS179" s="65"/>
      <c r="BT179" s="65"/>
      <c r="BU179" s="65"/>
      <c r="BV179" s="65"/>
    </row>
    <row r="180" spans="1:74" s="26" customFormat="1" ht="13.5" x14ac:dyDescent="0.25">
      <c r="B180" s="91"/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  <c r="AV180" s="65"/>
      <c r="AW180" s="65"/>
      <c r="AX180" s="65"/>
      <c r="AY180" s="65"/>
      <c r="AZ180" s="65"/>
      <c r="BA180" s="65"/>
      <c r="BB180" s="65"/>
      <c r="BC180" s="65"/>
      <c r="BD180" s="65"/>
      <c r="BE180" s="65"/>
      <c r="BF180" s="65"/>
      <c r="BG180" s="65"/>
      <c r="BH180" s="65"/>
      <c r="BI180" s="65"/>
      <c r="BJ180" s="65"/>
      <c r="BK180" s="65"/>
      <c r="BL180" s="65"/>
      <c r="BM180" s="65"/>
      <c r="BN180" s="65"/>
      <c r="BO180" s="65"/>
      <c r="BP180" s="65"/>
      <c r="BQ180" s="65"/>
      <c r="BR180" s="65"/>
      <c r="BS180" s="65"/>
      <c r="BT180" s="65"/>
      <c r="BU180" s="65"/>
      <c r="BV180" s="65"/>
    </row>
    <row r="181" spans="1:74" s="26" customFormat="1" ht="13.5" x14ac:dyDescent="0.25">
      <c r="A181" s="26" t="s">
        <v>155</v>
      </c>
      <c r="B181" s="91" t="str">
        <f t="shared" ref="B181:O181" si="179">IF(OR(B171&gt;60,B172="Y"),"Y","N")</f>
        <v>N</v>
      </c>
      <c r="C181" s="91" t="str">
        <f t="shared" si="179"/>
        <v>N</v>
      </c>
      <c r="D181" s="91" t="str">
        <f t="shared" si="179"/>
        <v>N</v>
      </c>
      <c r="E181" s="91" t="str">
        <f t="shared" si="179"/>
        <v>N</v>
      </c>
      <c r="F181" s="91" t="str">
        <f t="shared" si="179"/>
        <v>N</v>
      </c>
      <c r="G181" s="91" t="str">
        <f t="shared" si="179"/>
        <v>N</v>
      </c>
      <c r="H181" s="91" t="str">
        <f t="shared" si="179"/>
        <v>N</v>
      </c>
      <c r="I181" s="91" t="str">
        <f t="shared" si="179"/>
        <v>N</v>
      </c>
      <c r="J181" s="91" t="str">
        <f t="shared" si="179"/>
        <v>N</v>
      </c>
      <c r="K181" s="91" t="str">
        <f t="shared" si="179"/>
        <v>Y</v>
      </c>
      <c r="L181" s="91" t="str">
        <f t="shared" si="179"/>
        <v>Y</v>
      </c>
      <c r="M181" s="91" t="str">
        <f t="shared" si="179"/>
        <v>Y</v>
      </c>
      <c r="N181" s="91" t="str">
        <f t="shared" si="179"/>
        <v>Y</v>
      </c>
      <c r="O181" s="91" t="str">
        <f t="shared" si="179"/>
        <v>Y</v>
      </c>
      <c r="P181" s="91" t="str">
        <f>IF(OR(P171&gt;60,P172="Y"),"Y","N")</f>
        <v>Y</v>
      </c>
      <c r="Q181" s="91" t="str">
        <f>IF(OR(Q171&gt;60,Q172="Y"),"Y","N")</f>
        <v>Y</v>
      </c>
      <c r="R181" s="91" t="str">
        <f t="shared" ref="R181:W181" si="180">IF(OR(R171&gt;60,R172="Y"),"Y","N")</f>
        <v>Y</v>
      </c>
      <c r="S181" s="91" t="str">
        <f t="shared" si="180"/>
        <v>Y</v>
      </c>
      <c r="T181" s="91" t="str">
        <f t="shared" si="180"/>
        <v>Y</v>
      </c>
      <c r="U181" s="91" t="str">
        <f t="shared" si="180"/>
        <v>N</v>
      </c>
      <c r="V181" s="91" t="str">
        <f t="shared" si="180"/>
        <v>N</v>
      </c>
      <c r="W181" s="91" t="str">
        <f t="shared" si="180"/>
        <v>N</v>
      </c>
      <c r="X181" s="91" t="str">
        <f>IF(OR(X171&gt;60,X172="Y"),"Y","N")</f>
        <v>N</v>
      </c>
      <c r="Y181" s="91" t="str">
        <f>IF(OR(Y171&gt;60,Y172="Y"),"Y","N")</f>
        <v>N</v>
      </c>
      <c r="Z181" s="91" t="str">
        <f>IF(OR(Z171&gt;60,Z172="Y"),"Y","N")</f>
        <v>N</v>
      </c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  <c r="BD181" s="65"/>
      <c r="BE181" s="65"/>
      <c r="BF181" s="65"/>
      <c r="BG181" s="65"/>
      <c r="BH181" s="65"/>
      <c r="BI181" s="65"/>
      <c r="BJ181" s="65"/>
      <c r="BK181" s="65"/>
      <c r="BL181" s="65"/>
      <c r="BM181" s="65"/>
      <c r="BN181" s="65"/>
      <c r="BO181" s="65"/>
      <c r="BP181" s="65"/>
      <c r="BQ181" s="65"/>
      <c r="BR181" s="65"/>
      <c r="BS181" s="65"/>
      <c r="BT181" s="65"/>
      <c r="BU181" s="65"/>
      <c r="BV181" s="65"/>
    </row>
    <row r="182" spans="1:74" s="26" customFormat="1" ht="13.5" x14ac:dyDescent="0.25">
      <c r="B182" s="91"/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  <c r="AV182" s="65"/>
      <c r="AW182" s="65"/>
      <c r="AX182" s="65"/>
      <c r="AY182" s="65"/>
      <c r="AZ182" s="65"/>
      <c r="BA182" s="65"/>
      <c r="BB182" s="65"/>
      <c r="BC182" s="65"/>
      <c r="BD182" s="65"/>
      <c r="BE182" s="65"/>
      <c r="BF182" s="65"/>
      <c r="BG182" s="65"/>
      <c r="BH182" s="65"/>
      <c r="BI182" s="65"/>
      <c r="BJ182" s="65"/>
      <c r="BK182" s="65"/>
      <c r="BL182" s="65"/>
      <c r="BM182" s="65"/>
      <c r="BN182" s="65"/>
      <c r="BO182" s="65"/>
      <c r="BP182" s="65"/>
      <c r="BQ182" s="65"/>
      <c r="BR182" s="65"/>
      <c r="BS182" s="65"/>
      <c r="BT182" s="65"/>
      <c r="BU182" s="65"/>
      <c r="BV182" s="65"/>
    </row>
    <row r="183" spans="1:74" s="26" customFormat="1" ht="13.5" x14ac:dyDescent="0.25">
      <c r="A183" s="68" t="s">
        <v>156</v>
      </c>
      <c r="B183" s="91" t="e">
        <f t="shared" ref="B183:O183" si="181">IF(B168&gt;B169,"Y","N")</f>
        <v>#VALUE!</v>
      </c>
      <c r="C183" s="91" t="str">
        <f t="shared" si="181"/>
        <v>N</v>
      </c>
      <c r="D183" s="91" t="str">
        <f t="shared" si="181"/>
        <v>Y</v>
      </c>
      <c r="E183" s="91" t="str">
        <f t="shared" si="181"/>
        <v>N</v>
      </c>
      <c r="F183" s="91" t="str">
        <f t="shared" si="181"/>
        <v>Y</v>
      </c>
      <c r="G183" s="91" t="str">
        <f t="shared" si="181"/>
        <v>Y</v>
      </c>
      <c r="H183" s="91" t="str">
        <f t="shared" si="181"/>
        <v>Y</v>
      </c>
      <c r="I183" s="91" t="str">
        <f t="shared" si="181"/>
        <v>Y</v>
      </c>
      <c r="J183" s="91" t="str">
        <f t="shared" si="181"/>
        <v>N</v>
      </c>
      <c r="K183" s="91" t="str">
        <f t="shared" si="181"/>
        <v>N</v>
      </c>
      <c r="L183" s="91" t="str">
        <f t="shared" si="181"/>
        <v>N</v>
      </c>
      <c r="M183" s="91" t="str">
        <f t="shared" si="181"/>
        <v>N</v>
      </c>
      <c r="N183" s="91" t="str">
        <f t="shared" si="181"/>
        <v>N</v>
      </c>
      <c r="O183" s="91" t="str">
        <f t="shared" si="181"/>
        <v>N</v>
      </c>
      <c r="P183" s="91" t="str">
        <f>IF(P168&gt;P169,"Y","N")</f>
        <v>Y</v>
      </c>
      <c r="Q183" s="91" t="str">
        <f>IF(Q168&gt;Q169,"Y","N")</f>
        <v>Y</v>
      </c>
      <c r="R183" s="91" t="str">
        <f t="shared" ref="R183:W183" si="182">IF(R168&gt;R169,"Y","N")</f>
        <v>Y</v>
      </c>
      <c r="S183" s="91" t="str">
        <f t="shared" si="182"/>
        <v>N</v>
      </c>
      <c r="T183" s="91" t="str">
        <f t="shared" si="182"/>
        <v>Y</v>
      </c>
      <c r="U183" s="91" t="str">
        <f t="shared" si="182"/>
        <v>Y</v>
      </c>
      <c r="V183" s="91" t="str">
        <f t="shared" si="182"/>
        <v>N</v>
      </c>
      <c r="W183" s="91" t="str">
        <f t="shared" si="182"/>
        <v>Y</v>
      </c>
      <c r="X183" s="91" t="str">
        <f>IF(X168&gt;X169,"Y","N")</f>
        <v>Y</v>
      </c>
      <c r="Y183" s="91" t="str">
        <f>IF(Y168&gt;Y169,"Y","N")</f>
        <v>Y</v>
      </c>
      <c r="Z183" s="91" t="str">
        <f>IF(Z168&gt;Z169,"Y","N")</f>
        <v>Y</v>
      </c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  <c r="AV183" s="65"/>
      <c r="AW183" s="65"/>
      <c r="AX183" s="65"/>
      <c r="AY183" s="65"/>
      <c r="AZ183" s="65"/>
      <c r="BA183" s="65"/>
      <c r="BB183" s="65"/>
      <c r="BC183" s="65"/>
      <c r="BD183" s="65"/>
      <c r="BE183" s="65"/>
      <c r="BF183" s="65"/>
      <c r="BG183" s="65"/>
      <c r="BH183" s="65"/>
      <c r="BI183" s="65"/>
      <c r="BJ183" s="65"/>
      <c r="BK183" s="65"/>
      <c r="BL183" s="65"/>
      <c r="BM183" s="65"/>
      <c r="BN183" s="65"/>
      <c r="BO183" s="65"/>
      <c r="BP183" s="65"/>
      <c r="BQ183" s="65"/>
      <c r="BR183" s="65"/>
      <c r="BS183" s="65"/>
      <c r="BT183" s="65"/>
      <c r="BU183" s="65"/>
      <c r="BV183" s="65"/>
    </row>
    <row r="184" spans="1:74" s="26" customFormat="1" ht="13.5" x14ac:dyDescent="0.25">
      <c r="B184" s="91"/>
      <c r="C184" s="91"/>
      <c r="D184" s="91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91"/>
      <c r="Z184" s="91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  <c r="AV184" s="65"/>
      <c r="AW184" s="65"/>
      <c r="AX184" s="65"/>
      <c r="AY184" s="65"/>
      <c r="AZ184" s="65"/>
      <c r="BA184" s="65"/>
      <c r="BB184" s="65"/>
      <c r="BC184" s="65"/>
      <c r="BD184" s="65"/>
      <c r="BE184" s="65"/>
      <c r="BF184" s="65"/>
      <c r="BG184" s="65"/>
      <c r="BH184" s="65"/>
      <c r="BI184" s="65"/>
      <c r="BJ184" s="65"/>
      <c r="BK184" s="65"/>
      <c r="BL184" s="65"/>
      <c r="BM184" s="65"/>
      <c r="BN184" s="65"/>
      <c r="BO184" s="65"/>
      <c r="BP184" s="65"/>
      <c r="BQ184" s="65"/>
      <c r="BR184" s="65"/>
      <c r="BS184" s="65"/>
      <c r="BT184" s="65"/>
      <c r="BU184" s="65"/>
      <c r="BV184" s="65"/>
    </row>
    <row r="185" spans="1:74" s="26" customFormat="1" ht="13.5" x14ac:dyDescent="0.25">
      <c r="A185" s="26" t="s">
        <v>157</v>
      </c>
      <c r="B185" s="91" t="e">
        <f t="shared" ref="B185:O185" si="183">IF(B175="Y",0,"-")</f>
        <v>#VALUE!</v>
      </c>
      <c r="C185" s="91" t="str">
        <f t="shared" si="183"/>
        <v>-</v>
      </c>
      <c r="D185" s="91" t="str">
        <f t="shared" si="183"/>
        <v>-</v>
      </c>
      <c r="E185" s="91" t="str">
        <f t="shared" si="183"/>
        <v>-</v>
      </c>
      <c r="F185" s="91" t="str">
        <f t="shared" si="183"/>
        <v>-</v>
      </c>
      <c r="G185" s="91" t="str">
        <f t="shared" si="183"/>
        <v>-</v>
      </c>
      <c r="H185" s="91" t="str">
        <f t="shared" si="183"/>
        <v>-</v>
      </c>
      <c r="I185" s="91" t="str">
        <f t="shared" si="183"/>
        <v>-</v>
      </c>
      <c r="J185" s="91">
        <f t="shared" si="183"/>
        <v>0</v>
      </c>
      <c r="K185" s="91">
        <f t="shared" si="183"/>
        <v>0</v>
      </c>
      <c r="L185" s="91">
        <f t="shared" si="183"/>
        <v>0</v>
      </c>
      <c r="M185" s="91">
        <f t="shared" si="183"/>
        <v>0</v>
      </c>
      <c r="N185" s="91">
        <f t="shared" si="183"/>
        <v>0</v>
      </c>
      <c r="O185" s="91">
        <f t="shared" si="183"/>
        <v>0</v>
      </c>
      <c r="P185" s="91">
        <f>IF(P175="Y",0,"-")</f>
        <v>0</v>
      </c>
      <c r="Q185" s="91" t="str">
        <f>IF(Q175="Y",0,"-")</f>
        <v>-</v>
      </c>
      <c r="R185" s="91" t="str">
        <f t="shared" ref="R185:W185" si="184">IF(R175="Y",0,"-")</f>
        <v>-</v>
      </c>
      <c r="S185" s="91" t="str">
        <f t="shared" si="184"/>
        <v>-</v>
      </c>
      <c r="T185" s="91" t="str">
        <f t="shared" si="184"/>
        <v>-</v>
      </c>
      <c r="U185" s="91" t="str">
        <f t="shared" si="184"/>
        <v>-</v>
      </c>
      <c r="V185" s="91" t="str">
        <f t="shared" si="184"/>
        <v>-</v>
      </c>
      <c r="W185" s="91" t="str">
        <f t="shared" si="184"/>
        <v>-</v>
      </c>
      <c r="X185" s="91" t="str">
        <f>IF(X175="Y",0,"-")</f>
        <v>-</v>
      </c>
      <c r="Y185" s="91" t="str">
        <f>IF(Y175="Y",0,"-")</f>
        <v>-</v>
      </c>
      <c r="Z185" s="91" t="str">
        <f>IF(Z175="Y",0,"-")</f>
        <v>-</v>
      </c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  <c r="AV185" s="65"/>
      <c r="AW185" s="65"/>
      <c r="AX185" s="65"/>
      <c r="AY185" s="65"/>
      <c r="AZ185" s="65"/>
      <c r="BA185" s="65"/>
      <c r="BB185" s="65"/>
      <c r="BC185" s="65"/>
      <c r="BD185" s="65"/>
      <c r="BE185" s="65"/>
      <c r="BF185" s="65"/>
      <c r="BG185" s="65"/>
      <c r="BH185" s="65"/>
      <c r="BI185" s="65"/>
      <c r="BJ185" s="65"/>
      <c r="BK185" s="65"/>
      <c r="BL185" s="65"/>
      <c r="BM185" s="65"/>
      <c r="BN185" s="65"/>
      <c r="BO185" s="65"/>
      <c r="BP185" s="65"/>
      <c r="BQ185" s="65"/>
      <c r="BR185" s="65"/>
      <c r="BS185" s="65"/>
      <c r="BT185" s="65"/>
      <c r="BU185" s="65"/>
      <c r="BV185" s="65"/>
    </row>
    <row r="186" spans="1:74" s="26" customFormat="1" ht="13.5" x14ac:dyDescent="0.25">
      <c r="A186" s="26" t="s">
        <v>158</v>
      </c>
      <c r="B186" s="91" t="str">
        <f t="shared" ref="B186:O186" si="185">IF(B176="Y",IF(B181="Y",0.25,0),"-")</f>
        <v>-</v>
      </c>
      <c r="C186" s="91" t="str">
        <f t="shared" si="185"/>
        <v>-</v>
      </c>
      <c r="D186" s="91" t="str">
        <f t="shared" si="185"/>
        <v>-</v>
      </c>
      <c r="E186" s="91" t="str">
        <f t="shared" si="185"/>
        <v>-</v>
      </c>
      <c r="F186" s="91" t="str">
        <f t="shared" si="185"/>
        <v>-</v>
      </c>
      <c r="G186" s="91" t="str">
        <f t="shared" si="185"/>
        <v>-</v>
      </c>
      <c r="H186" s="91" t="str">
        <f t="shared" si="185"/>
        <v>-</v>
      </c>
      <c r="I186" s="91" t="str">
        <f t="shared" si="185"/>
        <v>-</v>
      </c>
      <c r="J186" s="91" t="str">
        <f t="shared" si="185"/>
        <v>-</v>
      </c>
      <c r="K186" s="91" t="str">
        <f t="shared" si="185"/>
        <v>-</v>
      </c>
      <c r="L186" s="91" t="str">
        <f t="shared" si="185"/>
        <v>-</v>
      </c>
      <c r="M186" s="91" t="str">
        <f t="shared" si="185"/>
        <v>-</v>
      </c>
      <c r="N186" s="91" t="str">
        <f t="shared" si="185"/>
        <v>-</v>
      </c>
      <c r="O186" s="91" t="str">
        <f t="shared" si="185"/>
        <v>-</v>
      </c>
      <c r="P186" s="91" t="str">
        <f>IF(P176="Y",IF(P181="Y",0.25,0),"-")</f>
        <v>-</v>
      </c>
      <c r="Q186" s="91">
        <f>IF(Q176="Y",IF(Q181="Y",0.25,0),"-")</f>
        <v>0.25</v>
      </c>
      <c r="R186" s="91" t="str">
        <f t="shared" ref="R186:W186" si="186">IF(R176="Y",IF(R181="Y",0.25,0),"-")</f>
        <v>-</v>
      </c>
      <c r="S186" s="91" t="str">
        <f t="shared" si="186"/>
        <v>-</v>
      </c>
      <c r="T186" s="91" t="str">
        <f t="shared" si="186"/>
        <v>-</v>
      </c>
      <c r="U186" s="91" t="str">
        <f t="shared" si="186"/>
        <v>-</v>
      </c>
      <c r="V186" s="91" t="str">
        <f t="shared" si="186"/>
        <v>-</v>
      </c>
      <c r="W186" s="91" t="str">
        <f t="shared" si="186"/>
        <v>-</v>
      </c>
      <c r="X186" s="91" t="str">
        <f>IF(X176="Y",IF(X181="Y",0.25,0),"-")</f>
        <v>-</v>
      </c>
      <c r="Y186" s="91" t="str">
        <f>IF(Y176="Y",IF(Y181="Y",0.25,0),"-")</f>
        <v>-</v>
      </c>
      <c r="Z186" s="91" t="str">
        <f>IF(Z176="Y",IF(Z181="Y",0.25,0),"-")</f>
        <v>-</v>
      </c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  <c r="AV186" s="65"/>
      <c r="AW186" s="65"/>
      <c r="AX186" s="65"/>
      <c r="AY186" s="65"/>
      <c r="AZ186" s="65"/>
      <c r="BA186" s="65"/>
      <c r="BB186" s="65"/>
      <c r="BC186" s="65"/>
      <c r="BD186" s="65"/>
      <c r="BE186" s="65"/>
      <c r="BF186" s="65"/>
      <c r="BG186" s="65"/>
      <c r="BH186" s="65"/>
      <c r="BI186" s="65"/>
      <c r="BJ186" s="65"/>
      <c r="BK186" s="65"/>
      <c r="BL186" s="65"/>
      <c r="BM186" s="65"/>
      <c r="BN186" s="65"/>
      <c r="BO186" s="65"/>
      <c r="BP186" s="65"/>
      <c r="BQ186" s="65"/>
      <c r="BR186" s="65"/>
      <c r="BS186" s="65"/>
      <c r="BT186" s="65"/>
      <c r="BU186" s="65"/>
      <c r="BV186" s="65"/>
    </row>
    <row r="187" spans="1:74" s="26" customFormat="1" ht="13.5" x14ac:dyDescent="0.25">
      <c r="A187" s="26" t="s">
        <v>159</v>
      </c>
      <c r="B187" s="91" t="str">
        <f t="shared" ref="B187:O187" si="187">IF(B177="Y",IF(B181="Y",IF(B183="Y",0.5,0.25),IF(B183="Y",0.25,0)),"-")</f>
        <v>-</v>
      </c>
      <c r="C187" s="91" t="str">
        <f t="shared" si="187"/>
        <v>-</v>
      </c>
      <c r="D187" s="91" t="str">
        <f t="shared" si="187"/>
        <v>-</v>
      </c>
      <c r="E187" s="91" t="str">
        <f t="shared" si="187"/>
        <v>-</v>
      </c>
      <c r="F187" s="91" t="str">
        <f t="shared" si="187"/>
        <v>-</v>
      </c>
      <c r="G187" s="91" t="str">
        <f t="shared" si="187"/>
        <v>-</v>
      </c>
      <c r="H187" s="91" t="str">
        <f t="shared" si="187"/>
        <v>-</v>
      </c>
      <c r="I187" s="91" t="str">
        <f t="shared" si="187"/>
        <v>-</v>
      </c>
      <c r="J187" s="91" t="str">
        <f t="shared" si="187"/>
        <v>-</v>
      </c>
      <c r="K187" s="91" t="str">
        <f t="shared" si="187"/>
        <v>-</v>
      </c>
      <c r="L187" s="91" t="str">
        <f t="shared" si="187"/>
        <v>-</v>
      </c>
      <c r="M187" s="91" t="str">
        <f t="shared" si="187"/>
        <v>-</v>
      </c>
      <c r="N187" s="91" t="str">
        <f t="shared" si="187"/>
        <v>-</v>
      </c>
      <c r="O187" s="91" t="str">
        <f t="shared" si="187"/>
        <v>-</v>
      </c>
      <c r="P187" s="91" t="str">
        <f>IF(P177="Y",IF(P181="Y",IF(P183="Y",0.5,0.25),IF(P183="Y",0.25,0)),"-")</f>
        <v>-</v>
      </c>
      <c r="Q187" s="91" t="str">
        <f>IF(Q177="Y",IF(Q181="Y",IF(Q183="Y",0.5,0.25),IF(Q183="Y",0.25,0)),"-")</f>
        <v>-</v>
      </c>
      <c r="R187" s="91">
        <f t="shared" ref="R187:W187" si="188">IF(R177="Y",IF(R181="Y",IF(R183="Y",0.5,0.25),IF(R183="Y",0.25,0)),"-")</f>
        <v>0.5</v>
      </c>
      <c r="S187" s="91">
        <f t="shared" si="188"/>
        <v>0.25</v>
      </c>
      <c r="T187" s="91" t="str">
        <f t="shared" si="188"/>
        <v>-</v>
      </c>
      <c r="U187" s="91" t="str">
        <f t="shared" si="188"/>
        <v>-</v>
      </c>
      <c r="V187" s="91" t="str">
        <f t="shared" si="188"/>
        <v>-</v>
      </c>
      <c r="W187" s="91" t="str">
        <f t="shared" si="188"/>
        <v>-</v>
      </c>
      <c r="X187" s="91" t="str">
        <f>IF(X177="Y",IF(X181="Y",IF(X183="Y",0.5,0.25),IF(X183="Y",0.25,0)),"-")</f>
        <v>-</v>
      </c>
      <c r="Y187" s="91" t="str">
        <f>IF(Y177="Y",IF(Y181="Y",IF(Y183="Y",0.5,0.25),IF(Y183="Y",0.25,0)),"-")</f>
        <v>-</v>
      </c>
      <c r="Z187" s="91" t="str">
        <f>IF(Z177="Y",IF(Z181="Y",IF(Z183="Y",0.5,0.25),IF(Z183="Y",0.25,0)),"-")</f>
        <v>-</v>
      </c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65"/>
      <c r="BL187" s="65"/>
      <c r="BM187" s="65"/>
      <c r="BN187" s="65"/>
      <c r="BO187" s="65"/>
      <c r="BP187" s="65"/>
      <c r="BQ187" s="65"/>
      <c r="BR187" s="65"/>
      <c r="BS187" s="65"/>
      <c r="BT187" s="65"/>
      <c r="BU187" s="65"/>
      <c r="BV187" s="65"/>
    </row>
    <row r="188" spans="1:74" s="26" customFormat="1" ht="13.5" x14ac:dyDescent="0.25">
      <c r="A188" s="26" t="s">
        <v>160</v>
      </c>
      <c r="B188" s="91" t="str">
        <f t="shared" ref="B188:O188" si="189">IF(B178="Y",IF(B181="Y",0.6,0.5),"-")</f>
        <v>-</v>
      </c>
      <c r="C188" s="91" t="str">
        <f t="shared" si="189"/>
        <v>-</v>
      </c>
      <c r="D188" s="91" t="str">
        <f t="shared" si="189"/>
        <v>-</v>
      </c>
      <c r="E188" s="91" t="str">
        <f t="shared" si="189"/>
        <v>-</v>
      </c>
      <c r="F188" s="91" t="str">
        <f t="shared" si="189"/>
        <v>-</v>
      </c>
      <c r="G188" s="91" t="str">
        <f t="shared" si="189"/>
        <v>-</v>
      </c>
      <c r="H188" s="91" t="str">
        <f t="shared" si="189"/>
        <v>-</v>
      </c>
      <c r="I188" s="91" t="str">
        <f t="shared" si="189"/>
        <v>-</v>
      </c>
      <c r="J188" s="91" t="str">
        <f t="shared" si="189"/>
        <v>-</v>
      </c>
      <c r="K188" s="91" t="str">
        <f t="shared" si="189"/>
        <v>-</v>
      </c>
      <c r="L188" s="91" t="str">
        <f t="shared" si="189"/>
        <v>-</v>
      </c>
      <c r="M188" s="91" t="str">
        <f t="shared" si="189"/>
        <v>-</v>
      </c>
      <c r="N188" s="91" t="str">
        <f t="shared" si="189"/>
        <v>-</v>
      </c>
      <c r="O188" s="91" t="str">
        <f t="shared" si="189"/>
        <v>-</v>
      </c>
      <c r="P188" s="91" t="str">
        <f>IF(P178="Y",IF(P181="Y",0.6,0.5),"-")</f>
        <v>-</v>
      </c>
      <c r="Q188" s="91" t="str">
        <f>IF(Q178="Y",IF(Q181="Y",0.6,0.5),"-")</f>
        <v>-</v>
      </c>
      <c r="R188" s="91" t="str">
        <f t="shared" ref="R188:W188" si="190">IF(R178="Y",IF(R181="Y",0.6,0.5),"-")</f>
        <v>-</v>
      </c>
      <c r="S188" s="91" t="str">
        <f t="shared" si="190"/>
        <v>-</v>
      </c>
      <c r="T188" s="91">
        <f t="shared" si="190"/>
        <v>0.6</v>
      </c>
      <c r="U188" s="91">
        <f t="shared" si="190"/>
        <v>0.5</v>
      </c>
      <c r="V188" s="91">
        <f t="shared" si="190"/>
        <v>0.5</v>
      </c>
      <c r="W188" s="91">
        <f t="shared" si="190"/>
        <v>0.5</v>
      </c>
      <c r="X188" s="91">
        <f>IF(X178="Y",IF(X181="Y",0.6,0.5),"-")</f>
        <v>0.5</v>
      </c>
      <c r="Y188" s="91" t="str">
        <f>IF(Y178="Y",IF(Y181="Y",0.6,0.5),"-")</f>
        <v>-</v>
      </c>
      <c r="Z188" s="91" t="str">
        <f>IF(Z178="Y",IF(Z181="Y",0.6,0.5),"-")</f>
        <v>-</v>
      </c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  <c r="BD188" s="65"/>
      <c r="BE188" s="65"/>
      <c r="BF188" s="65"/>
      <c r="BG188" s="65"/>
      <c r="BH188" s="65"/>
      <c r="BI188" s="65"/>
      <c r="BJ188" s="65"/>
      <c r="BK188" s="65"/>
      <c r="BL188" s="65"/>
      <c r="BM188" s="65"/>
      <c r="BN188" s="65"/>
      <c r="BO188" s="65"/>
      <c r="BP188" s="65"/>
      <c r="BQ188" s="65"/>
      <c r="BR188" s="65"/>
      <c r="BS188" s="65"/>
      <c r="BT188" s="65"/>
      <c r="BU188" s="65"/>
      <c r="BV188" s="65"/>
    </row>
    <row r="189" spans="1:74" s="26" customFormat="1" ht="13.5" x14ac:dyDescent="0.25">
      <c r="A189" s="73" t="s">
        <v>161</v>
      </c>
      <c r="B189" s="92" t="e">
        <f t="shared" ref="B189:O189" si="191">IF(B179="Y",IF(B181="Y",IF(B183="Y",1,0.75),IF(B183="Y",0.75,0.5)),"-")</f>
        <v>#VALUE!</v>
      </c>
      <c r="C189" s="92">
        <f t="shared" si="191"/>
        <v>0.5</v>
      </c>
      <c r="D189" s="92">
        <f t="shared" si="191"/>
        <v>0.75</v>
      </c>
      <c r="E189" s="92">
        <f t="shared" si="191"/>
        <v>0.5</v>
      </c>
      <c r="F189" s="92">
        <f t="shared" si="191"/>
        <v>0.75</v>
      </c>
      <c r="G189" s="92">
        <f t="shared" si="191"/>
        <v>0.75</v>
      </c>
      <c r="H189" s="92">
        <f t="shared" si="191"/>
        <v>0.75</v>
      </c>
      <c r="I189" s="92">
        <f t="shared" si="191"/>
        <v>0.75</v>
      </c>
      <c r="J189" s="92">
        <f t="shared" si="191"/>
        <v>0.5</v>
      </c>
      <c r="K189" s="92" t="str">
        <f t="shared" si="191"/>
        <v>-</v>
      </c>
      <c r="L189" s="92" t="str">
        <f t="shared" si="191"/>
        <v>-</v>
      </c>
      <c r="M189" s="92" t="str">
        <f t="shared" si="191"/>
        <v>-</v>
      </c>
      <c r="N189" s="92" t="str">
        <f t="shared" si="191"/>
        <v>-</v>
      </c>
      <c r="O189" s="92" t="str">
        <f t="shared" si="191"/>
        <v>-</v>
      </c>
      <c r="P189" s="92" t="str">
        <f>IF(P179="Y",IF(P181="Y",IF(P183="Y",1,0.75),IF(P183="Y",0.75,0.5)),"-")</f>
        <v>-</v>
      </c>
      <c r="Q189" s="92" t="str">
        <f>IF(Q179="Y",IF(Q181="Y",IF(Q183="Y",1,0.75),IF(Q183="Y",0.75,0.5)),"-")</f>
        <v>-</v>
      </c>
      <c r="R189" s="92" t="str">
        <f t="shared" ref="R189:W189" si="192">IF(R179="Y",IF(R181="Y",IF(R183="Y",1,0.75),IF(R183="Y",0.75,0.5)),"-")</f>
        <v>-</v>
      </c>
      <c r="S189" s="92" t="str">
        <f t="shared" si="192"/>
        <v>-</v>
      </c>
      <c r="T189" s="92" t="str">
        <f t="shared" si="192"/>
        <v>-</v>
      </c>
      <c r="U189" s="92" t="str">
        <f t="shared" si="192"/>
        <v>-</v>
      </c>
      <c r="V189" s="92" t="str">
        <f t="shared" si="192"/>
        <v>-</v>
      </c>
      <c r="W189" s="92" t="str">
        <f t="shared" si="192"/>
        <v>-</v>
      </c>
      <c r="X189" s="92" t="str">
        <f>IF(X179="Y",IF(X181="Y",IF(X183="Y",1,0.75),IF(X183="Y",0.75,0.5)),"-")</f>
        <v>-</v>
      </c>
      <c r="Y189" s="92">
        <f>IF(Y179="Y",IF(Y181="Y",IF(Y183="Y",1,0.75),IF(Y183="Y",0.75,0.5)),"-")</f>
        <v>0.75</v>
      </c>
      <c r="Z189" s="92">
        <f>IF(Z179="Y",IF(Z181="Y",IF(Z183="Y",1,0.75),IF(Z183="Y",0.75,0.5)),"-")</f>
        <v>0.75</v>
      </c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  <c r="BD189" s="65"/>
      <c r="BE189" s="65"/>
      <c r="BF189" s="65"/>
      <c r="BG189" s="65"/>
      <c r="BH189" s="65"/>
      <c r="BI189" s="65"/>
      <c r="BJ189" s="65"/>
      <c r="BK189" s="65"/>
      <c r="BL189" s="65"/>
      <c r="BM189" s="65"/>
      <c r="BN189" s="65"/>
      <c r="BO189" s="65"/>
      <c r="BP189" s="65"/>
      <c r="BQ189" s="65"/>
      <c r="BR189" s="65"/>
      <c r="BS189" s="65"/>
      <c r="BT189" s="65"/>
      <c r="BU189" s="65"/>
      <c r="BV189" s="65"/>
    </row>
    <row r="190" spans="1:74" s="26" customFormat="1" ht="13.5" x14ac:dyDescent="0.25">
      <c r="A190" s="73"/>
      <c r="B190" s="81"/>
      <c r="C190" s="81"/>
      <c r="D190" s="81"/>
      <c r="E190" s="81"/>
      <c r="F190" s="81"/>
      <c r="G190" s="81"/>
      <c r="H190" s="81"/>
      <c r="I190" s="81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  <c r="BD190" s="65"/>
      <c r="BE190" s="65"/>
      <c r="BF190" s="65"/>
      <c r="BG190" s="65"/>
      <c r="BH190" s="65"/>
      <c r="BI190" s="65"/>
      <c r="BJ190" s="65"/>
      <c r="BK190" s="65"/>
      <c r="BL190" s="65"/>
      <c r="BM190" s="65"/>
      <c r="BN190" s="65"/>
      <c r="BO190" s="65"/>
      <c r="BP190" s="65"/>
      <c r="BQ190" s="65"/>
      <c r="BR190" s="65"/>
      <c r="BS190" s="65"/>
      <c r="BT190" s="65"/>
      <c r="BU190" s="65"/>
      <c r="BV190" s="65"/>
    </row>
    <row r="191" spans="1:74" s="26" customFormat="1" ht="13.5" x14ac:dyDescent="0.25">
      <c r="A191" s="73" t="s">
        <v>162</v>
      </c>
      <c r="B191" s="81" t="e">
        <f t="shared" ref="B191:L191" si="193">SUM(B185:B189)</f>
        <v>#VALUE!</v>
      </c>
      <c r="C191" s="81">
        <f t="shared" si="193"/>
        <v>0.5</v>
      </c>
      <c r="D191" s="81">
        <f t="shared" si="193"/>
        <v>0.75</v>
      </c>
      <c r="E191" s="81">
        <f t="shared" si="193"/>
        <v>0.5</v>
      </c>
      <c r="F191" s="81">
        <f t="shared" si="193"/>
        <v>0.75</v>
      </c>
      <c r="G191" s="81">
        <f t="shared" si="193"/>
        <v>0.75</v>
      </c>
      <c r="H191" s="81">
        <f t="shared" si="193"/>
        <v>0.75</v>
      </c>
      <c r="I191" s="81">
        <f t="shared" si="193"/>
        <v>0.75</v>
      </c>
      <c r="J191" s="93">
        <f t="shared" si="193"/>
        <v>0.5</v>
      </c>
      <c r="K191" s="93">
        <f t="shared" si="193"/>
        <v>0</v>
      </c>
      <c r="L191" s="93">
        <f t="shared" si="193"/>
        <v>0</v>
      </c>
      <c r="M191" s="93">
        <f t="shared" ref="M191:O191" si="194">SUM(M185:M189)</f>
        <v>0</v>
      </c>
      <c r="N191" s="93">
        <f t="shared" si="194"/>
        <v>0</v>
      </c>
      <c r="O191" s="93">
        <f t="shared" si="194"/>
        <v>0</v>
      </c>
      <c r="P191" s="93">
        <f>SUM(P185:P189)</f>
        <v>0</v>
      </c>
      <c r="Q191" s="93">
        <f>SUM(Q185:Q189)</f>
        <v>0.25</v>
      </c>
      <c r="R191" s="93">
        <f t="shared" ref="R191:W191" si="195">SUM(R185:R189)</f>
        <v>0.5</v>
      </c>
      <c r="S191" s="93">
        <f t="shared" si="195"/>
        <v>0.25</v>
      </c>
      <c r="T191" s="93">
        <f t="shared" si="195"/>
        <v>0.6</v>
      </c>
      <c r="U191" s="93">
        <f t="shared" si="195"/>
        <v>0.5</v>
      </c>
      <c r="V191" s="93">
        <f t="shared" si="195"/>
        <v>0.5</v>
      </c>
      <c r="W191" s="93">
        <f t="shared" si="195"/>
        <v>0.5</v>
      </c>
      <c r="X191" s="93">
        <f>SUM(X185:X189)</f>
        <v>0.5</v>
      </c>
      <c r="Y191" s="93">
        <f>SUM(Y185:Y189)</f>
        <v>0.75</v>
      </c>
      <c r="Z191" s="93">
        <f>SUM(Z185:Z189)</f>
        <v>0.75</v>
      </c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  <c r="BD191" s="65"/>
      <c r="BE191" s="65"/>
      <c r="BF191" s="65"/>
      <c r="BG191" s="65"/>
      <c r="BH191" s="65"/>
      <c r="BI191" s="65"/>
      <c r="BJ191" s="65"/>
      <c r="BK191" s="65"/>
      <c r="BL191" s="65"/>
      <c r="BM191" s="65"/>
      <c r="BN191" s="65"/>
      <c r="BO191" s="65"/>
      <c r="BP191" s="65"/>
      <c r="BQ191" s="65"/>
      <c r="BR191" s="65"/>
      <c r="BS191" s="65"/>
      <c r="BT191" s="65"/>
      <c r="BU191" s="65"/>
      <c r="BV191" s="65"/>
    </row>
    <row r="192" spans="1:74" s="26" customFormat="1" ht="13.5" x14ac:dyDescent="0.25">
      <c r="A192" s="26" t="s">
        <v>163</v>
      </c>
      <c r="B192" s="26">
        <f t="shared" ref="B192:Z192" si="196">IF(A15&lt;B14,B14-A15,0)</f>
        <v>0</v>
      </c>
      <c r="C192" s="26">
        <f t="shared" si="196"/>
        <v>0</v>
      </c>
      <c r="D192" s="80">
        <f t="shared" si="196"/>
        <v>1.3116258576264315</v>
      </c>
      <c r="E192" s="80">
        <f t="shared" si="196"/>
        <v>3.2199939536375406</v>
      </c>
      <c r="F192" s="80">
        <f t="shared" si="196"/>
        <v>1.0796892165199923</v>
      </c>
      <c r="G192" s="80">
        <f t="shared" si="196"/>
        <v>1.012132269884644</v>
      </c>
      <c r="H192" s="80">
        <f t="shared" si="196"/>
        <v>1.4942925291187572</v>
      </c>
      <c r="I192" s="80">
        <f t="shared" si="196"/>
        <v>1.1395533083566383</v>
      </c>
      <c r="J192" s="92">
        <f t="shared" si="196"/>
        <v>5.3549713950092794</v>
      </c>
      <c r="K192" s="92">
        <f t="shared" si="196"/>
        <v>8.7698062448168663</v>
      </c>
      <c r="L192" s="92">
        <f t="shared" si="196"/>
        <v>8.7349813571676709</v>
      </c>
      <c r="M192" s="92">
        <f t="shared" si="196"/>
        <v>7.475833799150216</v>
      </c>
      <c r="N192" s="92">
        <f t="shared" si="196"/>
        <v>4.5274877433013518</v>
      </c>
      <c r="O192" s="92">
        <f t="shared" si="196"/>
        <v>3.3136514735258924</v>
      </c>
      <c r="P192" s="92">
        <f t="shared" si="196"/>
        <v>1.5127933341784141</v>
      </c>
      <c r="Q192" s="92">
        <f t="shared" si="196"/>
        <v>0.84190190683273691</v>
      </c>
      <c r="R192" s="91">
        <f t="shared" si="196"/>
        <v>0</v>
      </c>
      <c r="S192" s="91">
        <f t="shared" si="196"/>
        <v>0</v>
      </c>
      <c r="T192" s="91">
        <f t="shared" si="196"/>
        <v>0</v>
      </c>
      <c r="U192" s="91">
        <f t="shared" si="196"/>
        <v>0</v>
      </c>
      <c r="V192" s="91">
        <f t="shared" si="196"/>
        <v>0</v>
      </c>
      <c r="W192" s="91">
        <f t="shared" si="196"/>
        <v>0</v>
      </c>
      <c r="X192" s="92">
        <f t="shared" si="196"/>
        <v>2.1557829679424545E-2</v>
      </c>
      <c r="Y192" s="92">
        <f t="shared" si="196"/>
        <v>0.19289612418932267</v>
      </c>
      <c r="Z192" s="92">
        <f t="shared" si="196"/>
        <v>0.23542523582821306</v>
      </c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  <c r="AV192" s="65"/>
      <c r="AW192" s="65"/>
      <c r="AX192" s="65"/>
      <c r="AY192" s="65"/>
      <c r="AZ192" s="65"/>
      <c r="BA192" s="65"/>
      <c r="BB192" s="65"/>
      <c r="BC192" s="65"/>
      <c r="BD192" s="65"/>
      <c r="BE192" s="65"/>
      <c r="BF192" s="65"/>
      <c r="BG192" s="65"/>
      <c r="BH192" s="65"/>
      <c r="BI192" s="65"/>
      <c r="BJ192" s="65"/>
      <c r="BK192" s="65"/>
      <c r="BL192" s="65"/>
      <c r="BM192" s="65"/>
      <c r="BN192" s="65"/>
      <c r="BO192" s="65"/>
      <c r="BP192" s="65"/>
      <c r="BQ192" s="65"/>
      <c r="BR192" s="65"/>
      <c r="BS192" s="65"/>
      <c r="BT192" s="65"/>
      <c r="BU192" s="65"/>
      <c r="BV192" s="65"/>
    </row>
    <row r="193" spans="1:74" s="26" customFormat="1" ht="13.5" x14ac:dyDescent="0.25">
      <c r="A193" s="73" t="s">
        <v>164</v>
      </c>
      <c r="B193" s="82" t="e">
        <f t="shared" ref="B193:O193" si="197">IF(B191&lt;B192,B191,B192)</f>
        <v>#VALUE!</v>
      </c>
      <c r="C193" s="82">
        <f t="shared" si="197"/>
        <v>0</v>
      </c>
      <c r="D193" s="82">
        <f t="shared" si="197"/>
        <v>0.75</v>
      </c>
      <c r="E193" s="82">
        <f t="shared" si="197"/>
        <v>0.5</v>
      </c>
      <c r="F193" s="82">
        <f t="shared" si="197"/>
        <v>0.75</v>
      </c>
      <c r="G193" s="82">
        <f t="shared" si="197"/>
        <v>0.75</v>
      </c>
      <c r="H193" s="82">
        <f t="shared" si="197"/>
        <v>0.75</v>
      </c>
      <c r="I193" s="82">
        <f t="shared" si="197"/>
        <v>0.75</v>
      </c>
      <c r="J193" s="94">
        <f t="shared" si="197"/>
        <v>0.5</v>
      </c>
      <c r="K193" s="94">
        <f t="shared" si="197"/>
        <v>0</v>
      </c>
      <c r="L193" s="94">
        <f t="shared" si="197"/>
        <v>0</v>
      </c>
      <c r="M193" s="94">
        <f t="shared" si="197"/>
        <v>0</v>
      </c>
      <c r="N193" s="94">
        <f t="shared" si="197"/>
        <v>0</v>
      </c>
      <c r="O193" s="94">
        <f t="shared" si="197"/>
        <v>0</v>
      </c>
      <c r="P193" s="94">
        <f>IF(P191&lt;P192,P191,P192)</f>
        <v>0</v>
      </c>
      <c r="Q193" s="94">
        <f>IF(Q191&lt;Q192,Q191,Q192)</f>
        <v>0.25</v>
      </c>
      <c r="R193" s="94">
        <f t="shared" ref="R193:W193" si="198">IF(R191&lt;R192,R191,R192)</f>
        <v>0</v>
      </c>
      <c r="S193" s="94">
        <f t="shared" si="198"/>
        <v>0</v>
      </c>
      <c r="T193" s="94">
        <f t="shared" si="198"/>
        <v>0</v>
      </c>
      <c r="U193" s="94">
        <f t="shared" si="198"/>
        <v>0</v>
      </c>
      <c r="V193" s="94">
        <f t="shared" si="198"/>
        <v>0</v>
      </c>
      <c r="W193" s="94">
        <f t="shared" si="198"/>
        <v>0</v>
      </c>
      <c r="X193" s="94">
        <f>IF(X191&lt;X192,X191,X192)</f>
        <v>2.1557829679424545E-2</v>
      </c>
      <c r="Y193" s="94">
        <f>IF(Y191&lt;Y192,Y191,Y192)</f>
        <v>0.19289612418932267</v>
      </c>
      <c r="Z193" s="94">
        <f>IF(Z191&lt;Z192,Z191,Z192)</f>
        <v>0.23542523582821306</v>
      </c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  <c r="AV193" s="65"/>
      <c r="AW193" s="65"/>
      <c r="AX193" s="65"/>
      <c r="AY193" s="65"/>
      <c r="AZ193" s="65"/>
      <c r="BA193" s="65"/>
      <c r="BB193" s="65"/>
      <c r="BC193" s="65"/>
      <c r="BD193" s="65"/>
      <c r="BE193" s="65"/>
      <c r="BF193" s="65"/>
      <c r="BG193" s="65"/>
      <c r="BH193" s="65"/>
      <c r="BI193" s="65"/>
      <c r="BJ193" s="65"/>
      <c r="BK193" s="65"/>
      <c r="BL193" s="65"/>
      <c r="BM193" s="65"/>
      <c r="BN193" s="65"/>
      <c r="BO193" s="65"/>
      <c r="BP193" s="65"/>
      <c r="BQ193" s="65"/>
      <c r="BR193" s="65"/>
      <c r="BS193" s="65"/>
      <c r="BT193" s="65"/>
      <c r="BU193" s="65"/>
      <c r="BV193" s="65"/>
    </row>
    <row r="194" spans="1:74" s="26" customFormat="1" ht="13.5" x14ac:dyDescent="0.25"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91"/>
      <c r="Z194" s="91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/>
      <c r="BE194" s="65"/>
      <c r="BF194" s="65"/>
      <c r="BG194" s="65"/>
      <c r="BH194" s="65"/>
      <c r="BI194" s="65"/>
      <c r="BJ194" s="65"/>
      <c r="BK194" s="65"/>
      <c r="BL194" s="65"/>
      <c r="BM194" s="65"/>
      <c r="BN194" s="65"/>
      <c r="BO194" s="65"/>
      <c r="BP194" s="65"/>
      <c r="BQ194" s="65"/>
      <c r="BR194" s="65"/>
      <c r="BS194" s="65"/>
      <c r="BT194" s="65"/>
      <c r="BU194" s="65"/>
      <c r="BV194" s="65"/>
    </row>
    <row r="195" spans="1:74" s="26" customFormat="1" ht="13.5" x14ac:dyDescent="0.25">
      <c r="A195" s="26" t="s">
        <v>114</v>
      </c>
      <c r="B195" s="26" t="e">
        <f t="shared" ref="B195:T195" si="199">B193</f>
        <v>#VALUE!</v>
      </c>
      <c r="C195" s="26">
        <f t="shared" si="199"/>
        <v>0</v>
      </c>
      <c r="D195" s="26">
        <f t="shared" si="199"/>
        <v>0.75</v>
      </c>
      <c r="E195" s="26">
        <f t="shared" si="199"/>
        <v>0.5</v>
      </c>
      <c r="F195" s="26">
        <f t="shared" si="199"/>
        <v>0.75</v>
      </c>
      <c r="G195" s="26">
        <f t="shared" si="199"/>
        <v>0.75</v>
      </c>
      <c r="H195" s="26">
        <f t="shared" si="199"/>
        <v>0.75</v>
      </c>
      <c r="I195" s="26">
        <f t="shared" si="199"/>
        <v>0.75</v>
      </c>
      <c r="J195" s="91">
        <f t="shared" si="199"/>
        <v>0.5</v>
      </c>
      <c r="K195" s="91">
        <f t="shared" si="199"/>
        <v>0</v>
      </c>
      <c r="L195" s="91">
        <f t="shared" si="199"/>
        <v>0</v>
      </c>
      <c r="M195" s="91">
        <f t="shared" si="199"/>
        <v>0</v>
      </c>
      <c r="N195" s="91">
        <f t="shared" si="199"/>
        <v>0</v>
      </c>
      <c r="O195" s="91">
        <f t="shared" si="199"/>
        <v>0</v>
      </c>
      <c r="P195" s="91">
        <f t="shared" si="199"/>
        <v>0</v>
      </c>
      <c r="Q195" s="91">
        <f t="shared" si="199"/>
        <v>0.25</v>
      </c>
      <c r="R195" s="91">
        <f t="shared" si="199"/>
        <v>0</v>
      </c>
      <c r="S195" s="91">
        <f t="shared" si="199"/>
        <v>0</v>
      </c>
      <c r="T195" s="91">
        <f t="shared" si="199"/>
        <v>0</v>
      </c>
      <c r="U195" s="91">
        <f>U193</f>
        <v>0</v>
      </c>
      <c r="V195" s="91">
        <f t="shared" ref="V195:Y195" si="200">V193</f>
        <v>0</v>
      </c>
      <c r="W195" s="91">
        <f t="shared" si="200"/>
        <v>0</v>
      </c>
      <c r="X195" s="92">
        <f t="shared" si="200"/>
        <v>2.1557829679424545E-2</v>
      </c>
      <c r="Y195" s="92">
        <f t="shared" si="200"/>
        <v>0.19289612418932267</v>
      </c>
      <c r="Z195" s="92">
        <f t="shared" ref="Z195" si="201">Z193</f>
        <v>0.23542523582821306</v>
      </c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65"/>
      <c r="BC195" s="65"/>
      <c r="BD195" s="65"/>
      <c r="BE195" s="65"/>
      <c r="BF195" s="65"/>
      <c r="BG195" s="65"/>
      <c r="BH195" s="65"/>
      <c r="BI195" s="65"/>
      <c r="BJ195" s="65"/>
      <c r="BK195" s="65"/>
      <c r="BL195" s="65"/>
      <c r="BM195" s="65"/>
      <c r="BN195" s="65"/>
      <c r="BO195" s="65"/>
      <c r="BP195" s="65"/>
      <c r="BQ195" s="65"/>
      <c r="BR195" s="65"/>
      <c r="BS195" s="65"/>
      <c r="BT195" s="65"/>
      <c r="BU195" s="65"/>
      <c r="BV195" s="65"/>
    </row>
    <row r="196" spans="1:74" s="26" customFormat="1" ht="13.5" x14ac:dyDescent="0.25"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65"/>
      <c r="BC196" s="65"/>
      <c r="BD196" s="65"/>
      <c r="BE196" s="65"/>
      <c r="BF196" s="65"/>
      <c r="BG196" s="65"/>
      <c r="BH196" s="65"/>
      <c r="BI196" s="65"/>
      <c r="BJ196" s="65"/>
      <c r="BK196" s="65"/>
      <c r="BL196" s="65"/>
      <c r="BM196" s="65"/>
      <c r="BN196" s="65"/>
      <c r="BO196" s="65"/>
      <c r="BP196" s="65"/>
      <c r="BQ196" s="65"/>
      <c r="BR196" s="65"/>
      <c r="BS196" s="65"/>
      <c r="BT196" s="65"/>
      <c r="BU196" s="65"/>
      <c r="BV196" s="65"/>
    </row>
    <row r="197" spans="1:74" s="26" customFormat="1" ht="13.5" x14ac:dyDescent="0.25">
      <c r="A197" s="68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  <c r="BD197" s="65"/>
      <c r="BE197" s="65"/>
      <c r="BF197" s="65"/>
      <c r="BG197" s="65"/>
      <c r="BH197" s="65"/>
      <c r="BI197" s="65"/>
      <c r="BJ197" s="65"/>
      <c r="BK197" s="65"/>
      <c r="BL197" s="65"/>
      <c r="BM197" s="65"/>
      <c r="BN197" s="65"/>
      <c r="BO197" s="65"/>
      <c r="BP197" s="65"/>
      <c r="BQ197" s="65"/>
      <c r="BR197" s="65"/>
      <c r="BS197" s="65"/>
      <c r="BT197" s="65"/>
      <c r="BU197" s="65"/>
      <c r="BV197" s="65"/>
    </row>
    <row r="198" spans="1:74" s="65" customFormat="1" ht="13.5" x14ac:dyDescent="0.25">
      <c r="U198" s="76"/>
    </row>
    <row r="199" spans="1:74" s="83" customFormat="1" ht="12" x14ac:dyDescent="0.2"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</row>
    <row r="200" spans="1:74" s="83" customFormat="1" ht="12" x14ac:dyDescent="0.2"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</row>
    <row r="201" spans="1:74" s="83" customFormat="1" ht="12" x14ac:dyDescent="0.2"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</row>
    <row r="202" spans="1:74" s="83" customFormat="1" ht="12" x14ac:dyDescent="0.2"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</row>
    <row r="203" spans="1:74" s="83" customFormat="1" ht="12" x14ac:dyDescent="0.2"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</row>
    <row r="204" spans="1:74" s="83" customFormat="1" ht="12" x14ac:dyDescent="0.2"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</row>
    <row r="205" spans="1:74" s="83" customFormat="1" ht="12" x14ac:dyDescent="0.2"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5"/>
      <c r="U205" s="84"/>
      <c r="V205" s="84"/>
      <c r="W205" s="84"/>
      <c r="X205" s="84"/>
      <c r="Y205" s="84"/>
      <c r="Z205" s="84"/>
    </row>
    <row r="206" spans="1:74" s="83" customFormat="1" ht="12" x14ac:dyDescent="0.2"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</row>
    <row r="207" spans="1:74" s="83" customFormat="1" ht="12" x14ac:dyDescent="0.2"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</row>
    <row r="208" spans="1:74" s="83" customFormat="1" ht="12" x14ac:dyDescent="0.2"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</row>
    <row r="209" spans="10:26" s="83" customFormat="1" ht="12" x14ac:dyDescent="0.2"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</row>
    <row r="210" spans="10:26" s="83" customFormat="1" ht="12" x14ac:dyDescent="0.2"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</row>
    <row r="211" spans="10:26" s="83" customFormat="1" ht="12" x14ac:dyDescent="0.2"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</row>
    <row r="212" spans="10:26" s="83" customFormat="1" ht="12" x14ac:dyDescent="0.2">
      <c r="U212" s="85"/>
    </row>
    <row r="213" spans="10:26" s="83" customFormat="1" ht="12" x14ac:dyDescent="0.2"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</row>
    <row r="214" spans="10:26" s="83" customFormat="1" ht="12" x14ac:dyDescent="0.2"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6"/>
      <c r="X214" s="86"/>
      <c r="Y214" s="86"/>
      <c r="Z214" s="86"/>
    </row>
    <row r="215" spans="10:26" s="83" customFormat="1" ht="12" x14ac:dyDescent="0.2"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6"/>
      <c r="X215" s="86"/>
      <c r="Y215" s="86"/>
      <c r="Z215" s="86"/>
    </row>
    <row r="216" spans="10:26" s="83" customFormat="1" ht="12" x14ac:dyDescent="0.2"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6"/>
      <c r="X216" s="86"/>
      <c r="Y216" s="86"/>
      <c r="Z216" s="86"/>
    </row>
    <row r="217" spans="10:26" s="83" customFormat="1" ht="12" x14ac:dyDescent="0.2"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6"/>
      <c r="X217" s="86"/>
      <c r="Y217" s="86"/>
      <c r="Z217" s="86"/>
    </row>
    <row r="218" spans="10:26" s="83" customFormat="1" ht="12" x14ac:dyDescent="0.2"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6"/>
      <c r="X218" s="86"/>
      <c r="Y218" s="86"/>
      <c r="Z218" s="86"/>
    </row>
    <row r="219" spans="10:26" s="83" customFormat="1" ht="12" x14ac:dyDescent="0.2"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</row>
    <row r="220" spans="10:26" s="83" customFormat="1" ht="12" x14ac:dyDescent="0.2">
      <c r="K220" s="86"/>
      <c r="L220" s="86"/>
      <c r="M220" s="86"/>
      <c r="N220" s="86"/>
      <c r="O220" s="86"/>
      <c r="P220" s="86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 spans="10:26" s="83" customFormat="1" ht="12" x14ac:dyDescent="0.2"/>
    <row r="222" spans="10:26" s="83" customFormat="1" ht="12" x14ac:dyDescent="0.2"/>
    <row r="223" spans="10:26" s="83" customFormat="1" ht="12" x14ac:dyDescent="0.2"/>
    <row r="224" spans="10:26" s="83" customFormat="1" ht="12" x14ac:dyDescent="0.2"/>
    <row r="225" s="83" customFormat="1" ht="12" x14ac:dyDescent="0.2"/>
    <row r="226" s="83" customFormat="1" ht="12" x14ac:dyDescent="0.2"/>
    <row r="227" s="83" customFormat="1" ht="12" x14ac:dyDescent="0.2"/>
    <row r="228" s="21" customFormat="1" x14ac:dyDescent="0.25"/>
    <row r="229" s="21" customFormat="1" x14ac:dyDescent="0.25"/>
    <row r="230" s="21" customFormat="1" x14ac:dyDescent="0.25"/>
    <row r="231" s="21" customFormat="1" x14ac:dyDescent="0.25"/>
    <row r="232" s="21" customFormat="1" x14ac:dyDescent="0.25"/>
    <row r="233" s="21" customFormat="1" x14ac:dyDescent="0.25"/>
    <row r="234" s="21" customFormat="1" x14ac:dyDescent="0.25"/>
    <row r="235" s="21" customFormat="1" x14ac:dyDescent="0.25"/>
    <row r="236" s="21" customFormat="1" x14ac:dyDescent="0.25"/>
    <row r="237" s="21" customFormat="1" x14ac:dyDescent="0.25"/>
    <row r="238" s="21" customFormat="1" x14ac:dyDescent="0.25"/>
    <row r="239" s="21" customFormat="1" x14ac:dyDescent="0.25"/>
    <row r="240" s="21" customFormat="1" x14ac:dyDescent="0.25"/>
    <row r="241" s="21" customFormat="1" x14ac:dyDescent="0.25"/>
    <row r="242" s="21" customFormat="1" x14ac:dyDescent="0.25"/>
    <row r="243" s="21" customFormat="1" x14ac:dyDescent="0.25"/>
    <row r="244" s="21" customFormat="1" x14ac:dyDescent="0.25"/>
    <row r="245" s="21" customFormat="1" x14ac:dyDescent="0.25"/>
    <row r="246" s="21" customFormat="1" x14ac:dyDescent="0.25"/>
    <row r="247" s="21" customFormat="1" x14ac:dyDescent="0.25"/>
    <row r="248" s="21" customFormat="1" x14ac:dyDescent="0.25"/>
    <row r="249" s="21" customFormat="1" x14ac:dyDescent="0.25"/>
    <row r="250" s="21" customFormat="1" x14ac:dyDescent="0.25"/>
    <row r="251" s="21" customFormat="1" x14ac:dyDescent="0.25"/>
    <row r="252" s="21" customFormat="1" x14ac:dyDescent="0.25"/>
    <row r="253" s="21" customFormat="1" x14ac:dyDescent="0.25"/>
    <row r="254" s="21" customFormat="1" x14ac:dyDescent="0.25"/>
    <row r="255" s="21" customFormat="1" x14ac:dyDescent="0.25"/>
    <row r="256" s="21" customFormat="1" x14ac:dyDescent="0.25"/>
    <row r="257" s="21" customFormat="1" x14ac:dyDescent="0.25"/>
    <row r="258" s="21" customFormat="1" x14ac:dyDescent="0.25"/>
    <row r="259" s="21" customFormat="1" x14ac:dyDescent="0.25"/>
    <row r="260" s="21" customFormat="1" x14ac:dyDescent="0.25"/>
    <row r="261" s="21" customFormat="1" x14ac:dyDescent="0.25"/>
    <row r="262" s="21" customFormat="1" x14ac:dyDescent="0.25"/>
    <row r="263" s="21" customFormat="1" x14ac:dyDescent="0.25"/>
    <row r="264" s="21" customFormat="1" x14ac:dyDescent="0.25"/>
    <row r="265" s="21" customFormat="1" x14ac:dyDescent="0.25"/>
    <row r="266" s="21" customFormat="1" x14ac:dyDescent="0.25"/>
    <row r="267" s="21" customFormat="1" x14ac:dyDescent="0.25"/>
    <row r="268" s="21" customFormat="1" x14ac:dyDescent="0.25"/>
    <row r="269" s="21" customFormat="1" x14ac:dyDescent="0.25"/>
    <row r="270" s="21" customFormat="1" x14ac:dyDescent="0.25"/>
    <row r="271" s="21" customFormat="1" x14ac:dyDescent="0.25"/>
    <row r="272" s="21" customFormat="1" x14ac:dyDescent="0.25"/>
    <row r="273" s="21" customFormat="1" x14ac:dyDescent="0.25"/>
    <row r="274" s="21" customFormat="1" x14ac:dyDescent="0.25"/>
    <row r="275" s="21" customFormat="1" x14ac:dyDescent="0.25"/>
    <row r="276" s="21" customFormat="1" x14ac:dyDescent="0.25"/>
    <row r="277" s="21" customFormat="1" x14ac:dyDescent="0.25"/>
    <row r="278" s="21" customFormat="1" x14ac:dyDescent="0.25"/>
    <row r="279" s="21" customFormat="1" x14ac:dyDescent="0.25"/>
    <row r="280" s="21" customFormat="1" x14ac:dyDescent="0.25"/>
    <row r="281" s="21" customFormat="1" x14ac:dyDescent="0.25"/>
    <row r="282" s="21" customFormat="1" x14ac:dyDescent="0.25"/>
    <row r="283" s="21" customFormat="1" x14ac:dyDescent="0.25"/>
    <row r="284" s="21" customFormat="1" x14ac:dyDescent="0.25"/>
    <row r="285" s="21" customFormat="1" x14ac:dyDescent="0.25"/>
    <row r="286" s="21" customFormat="1" x14ac:dyDescent="0.25"/>
    <row r="287" s="21" customFormat="1" x14ac:dyDescent="0.25"/>
    <row r="288" s="21" customFormat="1" x14ac:dyDescent="0.25"/>
    <row r="289" s="21" customFormat="1" x14ac:dyDescent="0.25"/>
    <row r="290" s="21" customFormat="1" x14ac:dyDescent="0.25"/>
    <row r="291" s="21" customFormat="1" x14ac:dyDescent="0.25"/>
    <row r="292" s="21" customFormat="1" x14ac:dyDescent="0.25"/>
    <row r="293" s="21" customFormat="1" x14ac:dyDescent="0.25"/>
    <row r="294" s="21" customFormat="1" x14ac:dyDescent="0.25"/>
    <row r="295" s="21" customFormat="1" x14ac:dyDescent="0.25"/>
    <row r="296" s="21" customFormat="1" x14ac:dyDescent="0.25"/>
    <row r="297" s="21" customFormat="1" x14ac:dyDescent="0.25"/>
    <row r="298" s="21" customFormat="1" x14ac:dyDescent="0.25"/>
    <row r="299" s="21" customFormat="1" x14ac:dyDescent="0.25"/>
    <row r="300" s="21" customFormat="1" x14ac:dyDescent="0.25"/>
    <row r="301" s="21" customFormat="1" x14ac:dyDescent="0.25"/>
    <row r="302" s="21" customFormat="1" x14ac:dyDescent="0.25"/>
    <row r="303" s="21" customFormat="1" x14ac:dyDescent="0.25"/>
    <row r="304" s="21" customFormat="1" x14ac:dyDescent="0.25"/>
    <row r="305" s="21" customFormat="1" x14ac:dyDescent="0.25"/>
    <row r="306" s="21" customFormat="1" x14ac:dyDescent="0.25"/>
    <row r="307" s="21" customFormat="1" x14ac:dyDescent="0.25"/>
    <row r="308" s="21" customFormat="1" x14ac:dyDescent="0.25"/>
    <row r="309" s="21" customFormat="1" x14ac:dyDescent="0.25"/>
    <row r="310" s="21" customFormat="1" x14ac:dyDescent="0.25"/>
    <row r="311" s="21" customFormat="1" x14ac:dyDescent="0.25"/>
    <row r="312" s="21" customFormat="1" x14ac:dyDescent="0.25"/>
    <row r="313" s="21" customFormat="1" x14ac:dyDescent="0.25"/>
    <row r="314" s="21" customFormat="1" x14ac:dyDescent="0.25"/>
    <row r="315" s="21" customFormat="1" x14ac:dyDescent="0.25"/>
    <row r="316" s="21" customFormat="1" x14ac:dyDescent="0.25"/>
    <row r="317" s="21" customFormat="1" x14ac:dyDescent="0.25"/>
    <row r="318" s="21" customFormat="1" x14ac:dyDescent="0.25"/>
    <row r="319" s="21" customFormat="1" x14ac:dyDescent="0.25"/>
    <row r="320" s="21" customFormat="1" x14ac:dyDescent="0.25"/>
    <row r="321" s="21" customFormat="1" x14ac:dyDescent="0.25"/>
    <row r="322" s="21" customFormat="1" x14ac:dyDescent="0.25"/>
  </sheetData>
  <conditionalFormatting sqref="B33:AG33 B35:AG35">
    <cfRule type="cellIs" dxfId="1" priority="1" operator="between">
      <formula>-0.25</formula>
      <formula>-100000</formula>
    </cfRule>
    <cfRule type="cellIs" dxfId="0" priority="2" operator="between">
      <formula>-0.00001</formula>
      <formula>-0.24999999</formula>
    </cfRule>
  </conditionalFormatting>
  <pageMargins left="0.7" right="0.7" top="0.75" bottom="0.75" header="0.3" footer="0.3"/>
  <ignoredErrors>
    <ignoredError sqref="U27" 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Historical Data</vt:lpstr>
      <vt:lpstr>Forecast Estimates</vt:lpstr>
      <vt:lpstr>Assessment Domestic Fiscal Rule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killian.carroll</dc:creator>
  <cp:lastModifiedBy>killian.carroll</cp:lastModifiedBy>
  <dcterms:created xsi:type="dcterms:W3CDTF">2019-04-08T12:50:31Z</dcterms:created>
  <dcterms:modified xsi:type="dcterms:W3CDTF">2019-11-21T17:54:13Z</dcterms:modified>
</cp:coreProperties>
</file>