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https://fiscalcouncil.sharepoint.com/sites/Secretariat/Shared Documents/Fiscal Space Calculator/"/>
    </mc:Choice>
  </mc:AlternateContent>
  <xr:revisionPtr revIDLastSave="0" documentId="8_{F8BB54CC-5F8E-4A81-8EED-F8D8FFD3F8E5}" xr6:coauthVersionLast="47" xr6:coauthVersionMax="47" xr10:uidLastSave="{00000000-0000-0000-0000-000000000000}"/>
  <bookViews>
    <workbookView xWindow="-120" yWindow="-120" windowWidth="29040" windowHeight="15840" xr2:uid="{00000000-000D-0000-FFFF-FFFF00000000}"/>
  </bookViews>
  <sheets>
    <sheet name="Fiscal Space Calculator" sheetId="1" r:id="rId1"/>
  </sheets>
  <definedNames>
    <definedName name="Calculator">'Fiscal Space Calculator'!$1:$1048576</definedName>
    <definedName name="CalculatorYear">'Fiscal Space Calculator'!$8:$8</definedName>
    <definedName name="Controls">'Fiscal Space Calculator'!$C$273:$K$329</definedName>
    <definedName name="ControlsVariable">'Fiscal Space Calculator'!$C$273:$C$329</definedName>
    <definedName name="ControlsYear">'Fiscal Space Calculator'!$C$273:$K$273</definedName>
    <definedName name="_xlnm.Print_Area" localSheetId="0">'Fiscal Space Calculator'!$B$2:$K$112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5" i="1" l="1"/>
  <c r="F242" i="1"/>
  <c r="I138" i="1"/>
  <c r="H138" i="1"/>
  <c r="G138" i="1"/>
  <c r="F138" i="1"/>
  <c r="I155" i="1"/>
  <c r="H155" i="1"/>
  <c r="G155" i="1"/>
  <c r="F155" i="1"/>
  <c r="F65" i="1"/>
  <c r="G65" i="1" s="1"/>
  <c r="H65" i="1" s="1"/>
  <c r="I65" i="1" s="1"/>
  <c r="I157" i="1" l="1"/>
  <c r="H157" i="1"/>
  <c r="G157" i="1"/>
  <c r="F157" i="1"/>
  <c r="I139" i="1" l="1"/>
  <c r="H139" i="1"/>
  <c r="G139" i="1"/>
  <c r="F139" i="1"/>
  <c r="I136" i="1"/>
  <c r="H136" i="1"/>
  <c r="G136" i="1"/>
  <c r="F136" i="1"/>
  <c r="E69" i="1"/>
  <c r="F268" i="1" l="1"/>
  <c r="C49" i="1" l="1"/>
  <c r="C45" i="1"/>
  <c r="D141" i="1" l="1"/>
  <c r="D126" i="1"/>
  <c r="D256" i="1"/>
  <c r="E256" i="1"/>
  <c r="E257" i="1" s="1"/>
  <c r="G327" i="1"/>
  <c r="H327" i="1" s="1"/>
  <c r="I262" i="1"/>
  <c r="H262" i="1"/>
  <c r="G262" i="1"/>
  <c r="F262" i="1"/>
  <c r="I268" i="1"/>
  <c r="H268" i="1"/>
  <c r="G268" i="1"/>
  <c r="I264" i="1"/>
  <c r="H264" i="1"/>
  <c r="G264" i="1"/>
  <c r="F264" i="1"/>
  <c r="F130" i="1" l="1"/>
  <c r="I327" i="1"/>
  <c r="D25" i="1"/>
  <c r="D22" i="1" l="1"/>
  <c r="D24" i="1" l="1"/>
  <c r="D23" i="1"/>
  <c r="D301" i="1" l="1"/>
  <c r="D133" i="1" s="1"/>
  <c r="D144" i="1" l="1"/>
  <c r="D77" i="1"/>
  <c r="D78" i="1" s="1"/>
  <c r="D82" i="1" l="1"/>
  <c r="G329" i="1"/>
  <c r="H329" i="1" s="1"/>
  <c r="I329" i="1" s="1"/>
  <c r="D147" i="1" l="1"/>
  <c r="D148" i="1" s="1"/>
  <c r="I261" i="1" l="1"/>
  <c r="H261" i="1"/>
  <c r="G261" i="1"/>
  <c r="F261" i="1"/>
  <c r="I259" i="1"/>
  <c r="H259" i="1"/>
  <c r="G259" i="1"/>
  <c r="F259" i="1"/>
  <c r="F73" i="1" s="1"/>
  <c r="I73" i="1" l="1"/>
  <c r="H73" i="1"/>
  <c r="F253" i="1" a="1"/>
  <c r="F253" i="1" s="1"/>
  <c r="G253" i="1" a="1"/>
  <c r="G253" i="1" s="1"/>
  <c r="H253" i="1" a="1"/>
  <c r="H253" i="1" s="1"/>
  <c r="G73" i="1"/>
  <c r="I253" i="1" a="1"/>
  <c r="I253" i="1" s="1"/>
  <c r="C41" i="1"/>
  <c r="C37" i="1"/>
  <c r="C33" i="1" l="1"/>
  <c r="E8" i="1" l="1"/>
  <c r="E318" i="1" s="1"/>
  <c r="E134" i="1" l="1"/>
  <c r="E133" i="1"/>
  <c r="E127" i="1"/>
  <c r="E126" i="1"/>
  <c r="E25" i="1"/>
  <c r="E141" i="1"/>
  <c r="E23" i="1"/>
  <c r="E154" i="1" s="1"/>
  <c r="E24" i="1"/>
  <c r="E22" i="1"/>
  <c r="F8" i="1"/>
  <c r="F156" i="1" l="1"/>
  <c r="F32" i="1"/>
  <c r="F40" i="1"/>
  <c r="F44" i="1"/>
  <c r="F318" i="1"/>
  <c r="F36" i="1"/>
  <c r="F48" i="1"/>
  <c r="E153" i="1"/>
  <c r="F128" i="1"/>
  <c r="F25" i="1"/>
  <c r="F141" i="1"/>
  <c r="F24" i="1"/>
  <c r="F22" i="1"/>
  <c r="F23" i="1"/>
  <c r="G8" i="1"/>
  <c r="G40" i="1" l="1"/>
  <c r="G36" i="1"/>
  <c r="G48" i="1"/>
  <c r="G318" i="1"/>
  <c r="G156" i="1" s="1"/>
  <c r="G44" i="1"/>
  <c r="G32" i="1"/>
  <c r="F135" i="1"/>
  <c r="F251" i="1" s="1"/>
  <c r="E158" i="1"/>
  <c r="F154" i="1"/>
  <c r="G265" i="1"/>
  <c r="G128" i="1"/>
  <c r="G25" i="1"/>
  <c r="G141" i="1"/>
  <c r="G24" i="1"/>
  <c r="G22" i="1"/>
  <c r="G23" i="1"/>
  <c r="H8" i="1"/>
  <c r="H32" i="1" l="1"/>
  <c r="H40" i="1"/>
  <c r="H44" i="1"/>
  <c r="H36" i="1"/>
  <c r="H48" i="1"/>
  <c r="H318" i="1"/>
  <c r="H156" i="1" s="1"/>
  <c r="G129" i="1"/>
  <c r="G135" i="1"/>
  <c r="G251" i="1" s="1"/>
  <c r="E77" i="1"/>
  <c r="E78" i="1" s="1"/>
  <c r="G130" i="1"/>
  <c r="H266" i="1"/>
  <c r="H265" i="1"/>
  <c r="F129" i="1"/>
  <c r="H128" i="1"/>
  <c r="H25" i="1"/>
  <c r="H141" i="1"/>
  <c r="F72" i="1"/>
  <c r="F254" i="1"/>
  <c r="F257" i="1" s="1"/>
  <c r="H24" i="1"/>
  <c r="H22" i="1"/>
  <c r="H23" i="1"/>
  <c r="I8" i="1"/>
  <c r="I156" i="1" l="1"/>
  <c r="I32" i="1"/>
  <c r="I40" i="1"/>
  <c r="I44" i="1"/>
  <c r="I318" i="1"/>
  <c r="I36" i="1"/>
  <c r="I48" i="1"/>
  <c r="F245" i="1"/>
  <c r="G245" i="1"/>
  <c r="H135" i="1"/>
  <c r="H251" i="1" s="1"/>
  <c r="E81" i="1"/>
  <c r="E82" i="1" s="1"/>
  <c r="E83" i="1" s="1"/>
  <c r="E150" i="1"/>
  <c r="E151" i="1" s="1"/>
  <c r="H130" i="1"/>
  <c r="I266" i="1"/>
  <c r="I267" i="1"/>
  <c r="I265" i="1"/>
  <c r="I128" i="1"/>
  <c r="I25" i="1"/>
  <c r="I141" i="1"/>
  <c r="G72" i="1"/>
  <c r="G254" i="1"/>
  <c r="G257" i="1" s="1"/>
  <c r="I22" i="1"/>
  <c r="I23" i="1"/>
  <c r="I24" i="1"/>
  <c r="I135" i="1" l="1"/>
  <c r="I251" i="1" s="1"/>
  <c r="I130" i="1"/>
  <c r="H129" i="1"/>
  <c r="F153" i="1"/>
  <c r="H72" i="1"/>
  <c r="H254" i="1"/>
  <c r="H245" i="1" l="1"/>
  <c r="I129" i="1"/>
  <c r="G154" i="1"/>
  <c r="F131" i="1"/>
  <c r="F127" i="1" s="1"/>
  <c r="H257" i="1"/>
  <c r="F158" i="1"/>
  <c r="I72" i="1"/>
  <c r="U6" i="1" s="1"/>
  <c r="I254" i="1"/>
  <c r="I245" i="1" l="1"/>
  <c r="I257" i="1"/>
  <c r="F134" i="1" l="1"/>
  <c r="F133" i="1" s="1"/>
  <c r="F126" i="1"/>
  <c r="F77" i="1" l="1"/>
  <c r="F81" i="1" l="1"/>
  <c r="F78" i="1"/>
  <c r="F150" i="1"/>
  <c r="F151" i="1" s="1"/>
  <c r="E147" i="1" l="1"/>
  <c r="E148" i="1" s="1"/>
  <c r="F82" i="1"/>
  <c r="F83" i="1" s="1"/>
  <c r="F241" i="1" l="1"/>
  <c r="G242" i="1" s="1"/>
  <c r="G153" i="1"/>
  <c r="E143" i="1"/>
  <c r="E144" i="1" s="1"/>
  <c r="E145" i="1" s="1"/>
  <c r="F247" i="1" l="1"/>
  <c r="F249" i="1" s="1"/>
  <c r="F270" i="1" s="1"/>
  <c r="F256" i="1"/>
  <c r="G131" i="1"/>
  <c r="G127" i="1" s="1"/>
  <c r="H154" i="1"/>
  <c r="G158" i="1"/>
  <c r="F71" i="1" l="1"/>
  <c r="F74" i="1" s="1"/>
  <c r="G134" i="1"/>
  <c r="G133" i="1" s="1"/>
  <c r="G126" i="1"/>
  <c r="G77" i="1" l="1"/>
  <c r="G78" i="1" s="1"/>
  <c r="G150" i="1" l="1"/>
  <c r="G151" i="1" s="1"/>
  <c r="G81" i="1"/>
  <c r="F147" i="1" l="1"/>
  <c r="F148" i="1" s="1"/>
  <c r="G82" i="1"/>
  <c r="G83" i="1" s="1"/>
  <c r="H153" i="1" l="1"/>
  <c r="F143" i="1"/>
  <c r="F144" i="1" s="1"/>
  <c r="F145" i="1" s="1"/>
  <c r="G241" i="1" l="1"/>
  <c r="H131" i="1"/>
  <c r="H127" i="1" s="1"/>
  <c r="I154" i="1"/>
  <c r="H158" i="1"/>
  <c r="H242" i="1" l="1"/>
  <c r="G247" i="1"/>
  <c r="G249" i="1" s="1"/>
  <c r="G270" i="1" s="1"/>
  <c r="G256" i="1"/>
  <c r="H134" i="1"/>
  <c r="H133" i="1" s="1"/>
  <c r="H126" i="1"/>
  <c r="G71" i="1" l="1"/>
  <c r="G74" i="1" s="1"/>
  <c r="H77" i="1"/>
  <c r="H78" i="1" s="1"/>
  <c r="H150" i="1" l="1"/>
  <c r="H151" i="1" s="1"/>
  <c r="H81" i="1"/>
  <c r="G147" i="1" l="1"/>
  <c r="G148" i="1" s="1"/>
  <c r="H82" i="1"/>
  <c r="H83" i="1" s="1"/>
  <c r="I153" i="1" l="1"/>
  <c r="G143" i="1"/>
  <c r="G144" i="1" s="1"/>
  <c r="G145" i="1" s="1"/>
  <c r="H241" i="1" l="1"/>
  <c r="I131" i="1"/>
  <c r="I127" i="1" s="1"/>
  <c r="I158" i="1"/>
  <c r="I242" i="1" l="1"/>
  <c r="H247" i="1"/>
  <c r="H249" i="1" s="1"/>
  <c r="H71" i="1" s="1"/>
  <c r="H256" i="1"/>
  <c r="I134" i="1"/>
  <c r="I133" i="1" s="1"/>
  <c r="I126" i="1"/>
  <c r="H270" i="1" l="1"/>
  <c r="H74" i="1"/>
  <c r="I77" i="1"/>
  <c r="I78" i="1" s="1"/>
  <c r="I5" i="1" s="1"/>
  <c r="I150" i="1" l="1"/>
  <c r="I151" i="1" s="1"/>
  <c r="I81" i="1"/>
  <c r="I82" i="1" s="1"/>
  <c r="H147" i="1" l="1"/>
  <c r="H148" i="1" s="1"/>
  <c r="J150" i="1"/>
  <c r="I147" i="1" s="1"/>
  <c r="I148" i="1" s="1"/>
  <c r="I83" i="1"/>
  <c r="E84" i="1" s="1"/>
  <c r="I241" i="1" l="1"/>
  <c r="I143" i="1"/>
  <c r="I144" i="1" s="1"/>
  <c r="H143" i="1"/>
  <c r="H144" i="1" s="1"/>
  <c r="H145" i="1" s="1"/>
  <c r="I247" i="1" l="1"/>
  <c r="I249" i="1" s="1"/>
  <c r="I256" i="1"/>
  <c r="I145" i="1"/>
  <c r="I71" i="1" l="1"/>
  <c r="I270" i="1"/>
  <c r="I74" i="1" l="1"/>
  <c r="U5" i="1"/>
  <c r="I4" i="1" l="1"/>
  <c r="U7"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<sst xmlns="http://schemas.openxmlformats.org/spreadsheetml/2006/main" count="178" uniqueCount="144">
  <si>
    <t>Fiscal Space 2022-2025:</t>
  </si>
  <si>
    <t>million</t>
  </si>
  <si>
    <t>2022-25</t>
  </si>
  <si>
    <t>Budget balance in 2025:</t>
  </si>
  <si>
    <t>% GNI*</t>
  </si>
  <si>
    <t>Starting fiscal space</t>
  </si>
  <si>
    <t>Used</t>
  </si>
  <si>
    <t>Leftover</t>
  </si>
  <si>
    <t>Two key assumptions</t>
  </si>
  <si>
    <t xml:space="preserve">This calculator sets a limit for government spending based on: </t>
  </si>
  <si>
    <t>in real GNI* terms</t>
  </si>
  <si>
    <t>as % GNI*</t>
  </si>
  <si>
    <t>1) Macroeconomic forecasts</t>
  </si>
  <si>
    <t>SPU 2021</t>
  </si>
  <si>
    <t>Real GNI* growth rates</t>
  </si>
  <si>
    <t>Nominal GNI* growth rates</t>
  </si>
  <si>
    <t>Change in prices (HICP inflation)</t>
  </si>
  <si>
    <t>Wage growth (total comp. of employees)</t>
  </si>
  <si>
    <t>2) How do you want to maintain current policies?</t>
  </si>
  <si>
    <t>(a) Do you wish to maintain existing social benefits?</t>
  </si>
  <si>
    <t>Yes</t>
  </si>
  <si>
    <t>(b) Do you wish to maintain existing pensions?</t>
  </si>
  <si>
    <t>(d) Will you raise or "index" tax bands in line with wages?</t>
  </si>
  <si>
    <t>Yes, I want bands to rise if wages rise</t>
  </si>
  <si>
    <t>(e) Will you increase the pension age as previously planned?</t>
  </si>
  <si>
    <t>Yes, I want to increase the pension age</t>
  </si>
  <si>
    <t>Other Stand-Still costs driven by price changes €m</t>
  </si>
  <si>
    <t>These reflect the costs of maintaining government spending, given the rising costs of goods and services</t>
  </si>
  <si>
    <t>3) What are your new budget policies?</t>
  </si>
  <si>
    <t>Here are some examples of illustrative tax and spending changes</t>
  </si>
  <si>
    <t>New current spending changes €m</t>
  </si>
  <si>
    <t>New capital spending changes €m</t>
  </si>
  <si>
    <t xml:space="preserve">New tax measures €m (negative = tax cuts) </t>
  </si>
  <si>
    <t>How much to put in the Rainy Day Fund each year €m</t>
  </si>
  <si>
    <t>Amount in the Rainy Day Fund at year end €m</t>
  </si>
  <si>
    <t>4) Budget outcomes</t>
  </si>
  <si>
    <t>Starting fiscal space €m</t>
  </si>
  <si>
    <t>Less pre-commitments and Stand-Still costs €m</t>
  </si>
  <si>
    <t>Less the impact of new policies and Rainy Day Fund savings €m</t>
  </si>
  <si>
    <t>Leftover fiscal space €m</t>
  </si>
  <si>
    <t>Budget balance €m</t>
  </si>
  <si>
    <t xml:space="preserve">   % GNI*</t>
  </si>
  <si>
    <t>Net debt €m</t>
  </si>
  <si>
    <t xml:space="preserve">   annual change (percentage points)</t>
  </si>
  <si>
    <t>Spending vs limit</t>
  </si>
  <si>
    <t>€ billions</t>
  </si>
  <si>
    <t>More detailed results</t>
  </si>
  <si>
    <t>Government revenue</t>
  </si>
  <si>
    <t xml:space="preserve">    annual change </t>
  </si>
  <si>
    <t xml:space="preserve">        due to economic growth</t>
  </si>
  <si>
    <t xml:space="preserve">        due to not indexing tax bands</t>
  </si>
  <si>
    <t xml:space="preserve">        due to growth impact on revenue</t>
  </si>
  <si>
    <t>Non-interest spending</t>
  </si>
  <si>
    <t xml:space="preserve">       due to Stand-Still costs</t>
  </si>
  <si>
    <t xml:space="preserve">       due to pre-commitments: capital spending</t>
  </si>
  <si>
    <t xml:space="preserve">       due to pre-commitments: demographic pressures</t>
  </si>
  <si>
    <t xml:space="preserve">       due to other spending changes</t>
  </si>
  <si>
    <t xml:space="preserve">       due to new policies (spending increases or cuts)</t>
  </si>
  <si>
    <t>Interest spending</t>
  </si>
  <si>
    <t>Gross debt</t>
  </si>
  <si>
    <t xml:space="preserve">   annual change (p.p.)</t>
  </si>
  <si>
    <t>GG assets</t>
  </si>
  <si>
    <t>Gross financing needs</t>
  </si>
  <si>
    <t>Nominal GNI*</t>
  </si>
  <si>
    <t>Nominal GNI* with no changes to taxes or spending</t>
  </si>
  <si>
    <t>Multiplier impact of indexing tax bands</t>
  </si>
  <si>
    <t>Multiplier impact of discretionary change to taxes or spending</t>
  </si>
  <si>
    <t>Examples of tax &amp; spending changes *</t>
  </si>
  <si>
    <t>Income tax</t>
  </si>
  <si>
    <t>Yield from 1 percentage point (pp) rise in 20% income tax rate</t>
  </si>
  <si>
    <t>Cost of 1pp decrease in income tax 20% rate</t>
  </si>
  <si>
    <t>Yield from 1 pp rise in 40% income tax rate</t>
  </si>
  <si>
    <t>Cost of 1pp decrease in income tax 40% rate</t>
  </si>
  <si>
    <t>PRSI</t>
  </si>
  <si>
    <t>Increase in 4% employee PRSI rate to 4.5%</t>
  </si>
  <si>
    <t>Increase in 10.05% employer PRSI rate to 10.55%</t>
  </si>
  <si>
    <t>VAT</t>
  </si>
  <si>
    <t>One pp change on 9% rate</t>
  </si>
  <si>
    <t>One pp change on 13.5% rate</t>
  </si>
  <si>
    <t>One pp change on 23% rate</t>
  </si>
  <si>
    <t>Carbon tax</t>
  </si>
  <si>
    <t>Increase by €15 a tonne</t>
  </si>
  <si>
    <t>Local property tax</t>
  </si>
  <si>
    <t>Additional charge of €100 on every property</t>
  </si>
  <si>
    <t>Capital acquisitions tax</t>
  </si>
  <si>
    <t>Raise from 33% to 43%</t>
  </si>
  <si>
    <t>Capital gains tax</t>
  </si>
  <si>
    <t xml:space="preserve">Increase in 33% rate by 1pp </t>
  </si>
  <si>
    <t>Decrease in 33% rate by 1pp</t>
  </si>
  <si>
    <t>Social insurance spending</t>
  </si>
  <si>
    <t>€1 increase in jobseekers allowance (for max rate)</t>
  </si>
  <si>
    <t>€1 increase in jobseekers allowance (for ages 18-24)</t>
  </si>
  <si>
    <t xml:space="preserve">€1 increase in jobseekers benefit </t>
  </si>
  <si>
    <t>€1 increase in carer's allowance (under 66)</t>
  </si>
  <si>
    <t>€1 increase in carer's allowance (66+)</t>
  </si>
  <si>
    <t>€1 increase in disability allowance</t>
  </si>
  <si>
    <t>€1 increase in maternity and adoptive benefit</t>
  </si>
  <si>
    <t>€1 increase in state pension (contributory)</t>
  </si>
  <si>
    <t>€1 increase in state pension (non-contributory)</t>
  </si>
  <si>
    <t>€1 increase in illness benefit</t>
  </si>
  <si>
    <t>Public investment spending</t>
  </si>
  <si>
    <t>Keeping at 2020 levels in € (avg annual savings over 2022-25)</t>
  </si>
  <si>
    <t>Indexing the tax system</t>
  </si>
  <si>
    <t>A 1% wage increase is assumed to raise €181m from not indexing **</t>
  </si>
  <si>
    <t>* These are based on full-year impacts. Most estimates are from the "Post-Budget 2021 Revenue Ready Reckoner, Nov 2020". See revenue.ie for newer estimates.</t>
  </si>
  <si>
    <t xml:space="preserve">PRSI rate changes are from the Tax Strategy Group report in July 2019. Social insurance increases are from the PBO's Pre-Budget 2021 Ready Reckoner. </t>
  </si>
  <si>
    <t>** Indexation here refers to PAYE credits, exemption limits, personal tax credits with rate bands, and USC rate bands and exemption limits.</t>
  </si>
  <si>
    <t>Revenue's Ready Reckoner</t>
  </si>
  <si>
    <t>Tax Strategy Group report on PRSI July 2019</t>
  </si>
  <si>
    <t>PBO Pre-Budget 2021 Ready Reckoner</t>
  </si>
  <si>
    <t>Fiscal space calculations</t>
  </si>
  <si>
    <t>Corrected expenditure aggregate</t>
  </si>
  <si>
    <t>Increase when the target change in debt ratio is met</t>
  </si>
  <si>
    <t>Tax increases</t>
  </si>
  <si>
    <t>Corrected expenditure with indexation</t>
  </si>
  <si>
    <t>Gross fiscal space (including new tax increases)</t>
  </si>
  <si>
    <t>Pre-commitments and Stand-Still costs</t>
  </si>
  <si>
    <t>The impact of new policies and Rainy Day Fund savings</t>
  </si>
  <si>
    <t>Total use of fiscal space</t>
  </si>
  <si>
    <t>Spending limit (increased by tax-raising measures)</t>
  </si>
  <si>
    <t>Spending</t>
  </si>
  <si>
    <t>Rainy day fund</t>
  </si>
  <si>
    <t>Discretionary current spending change</t>
  </si>
  <si>
    <t>Discretionary capital spending change</t>
  </si>
  <si>
    <t>Discretionary tax increase (+)</t>
  </si>
  <si>
    <t>Compounding effect of 2022 tax increase</t>
  </si>
  <si>
    <t>Compounding effect of 2023 tax increase</t>
  </si>
  <si>
    <t>Compounding effect of 2024 tax increase</t>
  </si>
  <si>
    <t>Discretionary tax reduction (-)</t>
  </si>
  <si>
    <t>Remaining fiscal space</t>
  </si>
  <si>
    <t>Controls</t>
  </si>
  <si>
    <t>Macro scenarios</t>
  </si>
  <si>
    <t>Fiscal scenarios</t>
  </si>
  <si>
    <t>No, I wish to keep them constant in cash terms, or decrease them</t>
  </si>
  <si>
    <t>No, I don't want bands to rise if wages rise</t>
  </si>
  <si>
    <t>No, I don't want to increase the pension age</t>
  </si>
  <si>
    <t>Fiscal consolidation parameters</t>
  </si>
  <si>
    <t>Target change in GG net debt ratio</t>
  </si>
  <si>
    <t>"Sustainable" growth rate</t>
  </si>
  <si>
    <t>Margin of tolerance</t>
  </si>
  <si>
    <r>
      <t xml:space="preserve">Enter the amounts in €m that you intend to change spending and taxes </t>
    </r>
    <r>
      <rPr>
        <u/>
        <sz val="11"/>
        <color theme="1"/>
        <rFont val="Segoe UI"/>
        <family val="2"/>
      </rPr>
      <t>every year</t>
    </r>
    <r>
      <rPr>
        <sz val="11"/>
        <color theme="1"/>
        <rFont val="Segoe UI"/>
        <family val="2"/>
      </rPr>
      <t xml:space="preserve"> after by same amount once introduced</t>
    </r>
  </si>
  <si>
    <t xml:space="preserve">        due new policies (spending/tax increases or cuts)</t>
  </si>
  <si>
    <t>(c) Do you wish to maintain relative public sector pay levels?</t>
  </si>
  <si>
    <t>Multiplier impact of selected stand-still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</si>
</sst>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64" formatCode="#,##0.0;\-#,##0.0"/>
    <numFmt numFmtId="165" formatCode="0.0"/>
    <numFmt numFmtId="166" formatCode="#,##0;[Color54]\-#,##0"/>
    <numFmt numFmtId="167" formatCode="#,##0.0000;\-#,##0.0000"/>
  </numFmts>
  <fonts count="33" x14ac:knownFonts="1">
    <font>
      <sz val="11"/>
      <color theme="1"/>
      <name val="Calibri"/>
      <family val="2"/>
      <scheme val="minor"/>
    </font>
    <font>
      <sz val="11"/>
      <color theme="1"/>
      <name val="Segoe UI"/>
      <family val="2"/>
    </font>
    <font>
      <i/>
      <sz val="11"/>
      <color theme="1"/>
      <name val="Segoe UI"/>
      <family val="2"/>
    </font>
    <font>
      <sz val="18"/>
      <color theme="1"/>
      <name val="Roundo"/>
      <family val="3"/>
    </font>
    <font>
      <sz val="16"/>
      <color theme="0"/>
      <name val="Segoe UI"/>
      <family val="2"/>
    </font>
    <font>
      <sz val="11"/>
      <color rgb="FF7030A0"/>
      <name val="Segoe UI"/>
      <family val="2"/>
    </font>
    <font>
      <i/>
      <sz val="11"/>
      <color theme="7" tint="-0.249977111117893"/>
      <name val="Segoe UI"/>
      <family val="2"/>
    </font>
    <font>
      <sz val="11"/>
      <color theme="0" tint="-0.499984740745262"/>
      <name val="Segoe UI"/>
      <family val="2"/>
    </font>
    <font>
      <sz val="11"/>
      <color rgb="FF0070C0"/>
      <name val="Segoe UI"/>
      <family val="2"/>
    </font>
    <font>
      <sz val="11"/>
      <color theme="0"/>
      <name val="Segoe UI"/>
      <family val="2"/>
    </font>
    <font>
      <b/>
      <sz val="11"/>
      <color theme="0"/>
      <name val="Segoe UI"/>
      <family val="2"/>
    </font>
    <font>
      <i/>
      <sz val="11"/>
      <color theme="6" tint="0.249977111117893"/>
      <name val="Segoe UI"/>
      <family val="2"/>
    </font>
    <font>
      <u/>
      <sz val="11"/>
      <color theme="10"/>
      <name val="Calibri"/>
      <family val="2"/>
      <scheme val="minor"/>
    </font>
    <font>
      <sz val="18"/>
      <color theme="0"/>
      <name val="Roundo"/>
      <family val="3"/>
    </font>
    <font>
      <sz val="14"/>
      <color theme="0"/>
      <name val="Segoe UI"/>
      <family val="2"/>
    </font>
    <font>
      <i/>
      <u/>
      <sz val="11"/>
      <color theme="8" tint="-0.249977111117893"/>
      <name val="Calibri"/>
      <family val="2"/>
      <scheme val="minor"/>
    </font>
    <font>
      <i/>
      <u/>
      <sz val="11"/>
      <color theme="8" tint="0.39997558519241921"/>
      <name val="Calibri"/>
      <family val="2"/>
      <scheme val="minor"/>
    </font>
    <font>
      <sz val="11"/>
      <name val="Segoe UI"/>
      <family val="2"/>
    </font>
    <font>
      <u/>
      <sz val="11"/>
      <color theme="1"/>
      <name val="Segoe UI"/>
      <family val="2"/>
    </font>
    <font>
      <sz val="11"/>
      <color theme="1"/>
      <name val="Calibri"/>
      <family val="2"/>
      <scheme val="minor"/>
    </font>
    <font>
      <b/>
      <sz val="11"/>
      <color theme="0" tint="-4.9989318521683403E-2"/>
      <name val="Segoe UI"/>
      <family val="2"/>
    </font>
    <font>
      <sz val="11"/>
      <color theme="0" tint="-4.9989318521683403E-2"/>
      <name val="Segoe UI"/>
      <family val="2"/>
    </font>
    <font>
      <sz val="11"/>
      <color theme="5"/>
      <name val="Segoe UI"/>
      <family val="2"/>
    </font>
    <font>
      <sz val="9"/>
      <color theme="0"/>
      <name val="Segoe UI"/>
      <family val="2"/>
    </font>
    <font>
      <b/>
      <sz val="18"/>
      <color theme="1"/>
      <name val="Roundo"/>
      <family val="3"/>
    </font>
    <font>
      <b/>
      <sz val="14"/>
      <color theme="1" tint="0.249977111117893"/>
      <name val="Segoe UI"/>
      <family val="2"/>
    </font>
    <font>
      <sz val="11"/>
      <color theme="1" tint="0.34998626667073579"/>
      <name val="Segoe UI"/>
      <family val="2"/>
    </font>
    <font>
      <sz val="10"/>
      <color theme="1" tint="0.34998626667073579"/>
      <name val="Segoe UI"/>
      <family val="2"/>
    </font>
    <font>
      <b/>
      <sz val="11"/>
      <color theme="0" tint="-0.499984740745262"/>
      <name val="Segoe UI"/>
      <family val="2"/>
    </font>
    <font>
      <u/>
      <sz val="11"/>
      <color theme="8" tint="-0.249977111117893"/>
      <name val="Segoe UI"/>
      <family val="2"/>
    </font>
    <font>
      <sz val="11"/>
      <color theme="1" tint="0.499984740745262"/>
      <name val="Segoe UI"/>
      <family val="2"/>
    </font>
    <font>
      <b/>
      <sz val="11"/>
      <color theme="8" tint="-0.249977111117893"/>
      <name val="Segoe UI"/>
      <family val="2"/>
    </font>
    <font>
      <sz val="8"/>
      <color theme="0" tint="-4.9989318521683403E-2"/>
      <name val="Segoe UI"/>
      <family val="2"/>
    </font>
  </fonts>
  <fills count="8">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0"/>
        <bgColor indexed="64"/>
      </patternFill>
    </fill>
    <fill>
      <patternFill patternType="solid">
        <fgColor theme="1" tint="0.249977111117893"/>
        <bgColor indexed="64"/>
      </patternFill>
    </fill>
    <fill>
      <patternFill patternType="solid">
        <fgColor theme="8" tint="0.59999389629810485"/>
        <bgColor indexed="64"/>
      </patternFill>
    </fill>
  </fills>
  <borders count="1">
    <border>
      <left/>
      <right/>
      <top/>
      <bottom/>
      <diagonal/>
    </border>
  </borders>
  <cellStyleXfs count="3">
    <xf numFmtId="0" fontId="0" fillId="0" borderId="0"/>
    <xf numFmtId="0" fontId="12" fillId="0" borderId="0" applyNumberFormat="0" applyFill="0" applyBorder="0" applyAlignment="0" applyProtection="0"/>
    <xf numFmtId="9" fontId="19" fillId="0" borderId="0" applyFont="0" applyFill="0" applyBorder="0" applyAlignment="0" applyProtection="0"/>
  </cellStyleXfs>
  <cellXfs count="69">
    <xf numFmtId="0" fontId="0" fillId="0" borderId="0" xfId="0"/>
    <xf numFmtId="0" fontId="3" fillId="0" borderId="0" xfId="0" applyFont="1"/>
    <xf numFmtId="0" fontId="1" fillId="3" borderId="0" xfId="0" applyFont="1" applyFill="1"/>
    <xf numFmtId="0" fontId="1" fillId="0" borderId="0" xfId="0" applyFont="1"/>
    <xf numFmtId="0" fontId="1" fillId="4" borderId="0" xfId="0" applyFont="1" applyFill="1"/>
    <xf numFmtId="165" fontId="1" fillId="0" borderId="0" xfId="0" applyNumberFormat="1" applyFont="1"/>
    <xf numFmtId="0" fontId="4" fillId="3" borderId="0" xfId="0" applyFont="1" applyFill="1"/>
    <xf numFmtId="0" fontId="4" fillId="2" borderId="0" xfId="0" applyFont="1" applyFill="1"/>
    <xf numFmtId="37" fontId="1" fillId="0" borderId="0" xfId="0" applyNumberFormat="1" applyFont="1"/>
    <xf numFmtId="37" fontId="5" fillId="0" borderId="0" xfId="0" applyNumberFormat="1" applyFont="1"/>
    <xf numFmtId="0" fontId="6" fillId="0" borderId="0" xfId="0" applyFont="1"/>
    <xf numFmtId="37" fontId="7" fillId="0" borderId="0" xfId="0" applyNumberFormat="1" applyFont="1"/>
    <xf numFmtId="0" fontId="1" fillId="3" borderId="0" xfId="0" applyFont="1" applyFill="1" applyBorder="1"/>
    <xf numFmtId="164" fontId="1" fillId="0" borderId="0" xfId="0" applyNumberFormat="1" applyFont="1"/>
    <xf numFmtId="0" fontId="1" fillId="3" borderId="0" xfId="0" applyFont="1" applyFill="1" applyAlignment="1">
      <alignment wrapText="1"/>
    </xf>
    <xf numFmtId="37" fontId="1" fillId="3" borderId="0" xfId="0" applyNumberFormat="1" applyFont="1" applyFill="1"/>
    <xf numFmtId="0" fontId="1" fillId="6" borderId="0" xfId="0" applyFont="1" applyFill="1"/>
    <xf numFmtId="37" fontId="1" fillId="6" borderId="0" xfId="0" applyNumberFormat="1" applyFont="1" applyFill="1"/>
    <xf numFmtId="37" fontId="7" fillId="6" borderId="0" xfId="0" applyNumberFormat="1" applyFont="1" applyFill="1"/>
    <xf numFmtId="37" fontId="8" fillId="6" borderId="0" xfId="0" applyNumberFormat="1" applyFont="1" applyFill="1"/>
    <xf numFmtId="0" fontId="9" fillId="6" borderId="0" xfId="0" applyFont="1" applyFill="1"/>
    <xf numFmtId="37" fontId="9" fillId="6" borderId="0" xfId="0" applyNumberFormat="1" applyFont="1" applyFill="1"/>
    <xf numFmtId="164" fontId="5" fillId="6" borderId="0" xfId="0" applyNumberFormat="1" applyFont="1" applyFill="1"/>
    <xf numFmtId="0" fontId="10" fillId="6" borderId="0" xfId="0" applyFont="1" applyFill="1"/>
    <xf numFmtId="3" fontId="9" fillId="6" borderId="0" xfId="0" applyNumberFormat="1" applyFont="1" applyFill="1"/>
    <xf numFmtId="165" fontId="11" fillId="0" borderId="0" xfId="0" applyNumberFormat="1" applyFont="1"/>
    <xf numFmtId="0" fontId="2" fillId="0" borderId="0" xfId="0" applyFont="1"/>
    <xf numFmtId="0" fontId="13" fillId="6" borderId="0" xfId="0" applyFont="1" applyFill="1"/>
    <xf numFmtId="0" fontId="14" fillId="6" borderId="0" xfId="0" applyFont="1" applyFill="1"/>
    <xf numFmtId="0" fontId="15" fillId="0" borderId="0" xfId="1" applyFont="1"/>
    <xf numFmtId="0" fontId="16" fillId="6" borderId="0" xfId="1" applyFont="1" applyFill="1"/>
    <xf numFmtId="164" fontId="9" fillId="6" borderId="0" xfId="0" applyNumberFormat="1" applyFont="1" applyFill="1"/>
    <xf numFmtId="0" fontId="17" fillId="5" borderId="0" xfId="0" applyFont="1" applyFill="1"/>
    <xf numFmtId="0" fontId="18" fillId="0" borderId="0" xfId="0" applyFont="1"/>
    <xf numFmtId="0" fontId="20" fillId="6" borderId="0" xfId="0" applyFont="1" applyFill="1"/>
    <xf numFmtId="0" fontId="21" fillId="6" borderId="0" xfId="0" applyFont="1" applyFill="1"/>
    <xf numFmtId="165" fontId="21" fillId="6" borderId="0" xfId="0" applyNumberFormat="1" applyFont="1" applyFill="1"/>
    <xf numFmtId="37" fontId="21" fillId="6" borderId="0" xfId="0" applyNumberFormat="1" applyFont="1" applyFill="1"/>
    <xf numFmtId="39" fontId="21" fillId="6" borderId="0" xfId="0" applyNumberFormat="1" applyFont="1" applyFill="1"/>
    <xf numFmtId="9" fontId="21" fillId="6" borderId="0" xfId="2" applyFont="1" applyFill="1"/>
    <xf numFmtId="37" fontId="22" fillId="6" borderId="0" xfId="0" applyNumberFormat="1" applyFont="1" applyFill="1"/>
    <xf numFmtId="0" fontId="22" fillId="6" borderId="0" xfId="0" applyFont="1" applyFill="1"/>
    <xf numFmtId="0" fontId="23" fillId="6" borderId="0" xfId="0" applyFont="1" applyFill="1"/>
    <xf numFmtId="0" fontId="1" fillId="0" borderId="0" xfId="0" applyFont="1" applyAlignment="1">
      <alignment horizontal="right"/>
    </xf>
    <xf numFmtId="0" fontId="24" fillId="0" borderId="0" xfId="0" applyFont="1"/>
    <xf numFmtId="37" fontId="25" fillId="0" borderId="0" xfId="0" applyNumberFormat="1" applyFont="1"/>
    <xf numFmtId="37" fontId="26" fillId="0" borderId="0" xfId="0" applyNumberFormat="1" applyFont="1"/>
    <xf numFmtId="0" fontId="27" fillId="0" borderId="0" xfId="0" applyFont="1"/>
    <xf numFmtId="165" fontId="1" fillId="3" borderId="0" xfId="0" applyNumberFormat="1" applyFont="1" applyFill="1"/>
    <xf numFmtId="0" fontId="28" fillId="6" borderId="0" xfId="0" applyFont="1" applyFill="1"/>
    <xf numFmtId="0" fontId="7" fillId="6" borderId="0" xfId="0" applyFont="1" applyFill="1"/>
    <xf numFmtId="165" fontId="7" fillId="6" borderId="0" xfId="0" applyNumberFormat="1" applyFont="1" applyFill="1"/>
    <xf numFmtId="39" fontId="7" fillId="6" borderId="0" xfId="0" applyNumberFormat="1" applyFont="1" applyFill="1"/>
    <xf numFmtId="1" fontId="7" fillId="6" borderId="0" xfId="0" applyNumberFormat="1" applyFont="1" applyFill="1"/>
    <xf numFmtId="0" fontId="17" fillId="0" borderId="0" xfId="0" applyFont="1"/>
    <xf numFmtId="0" fontId="29" fillId="0" borderId="0" xfId="1" applyFont="1"/>
    <xf numFmtId="0" fontId="1" fillId="7" borderId="0" xfId="0" applyFont="1" applyFill="1"/>
    <xf numFmtId="37" fontId="1" fillId="7" borderId="0" xfId="0" applyNumberFormat="1" applyFont="1" applyFill="1"/>
    <xf numFmtId="166" fontId="1" fillId="7" borderId="0" xfId="0" applyNumberFormat="1" applyFont="1" applyFill="1"/>
    <xf numFmtId="0" fontId="30" fillId="3" borderId="0" xfId="0" applyFont="1" applyFill="1"/>
    <xf numFmtId="3" fontId="30" fillId="3" borderId="0" xfId="0" applyNumberFormat="1" applyFont="1" applyFill="1"/>
    <xf numFmtId="167" fontId="1" fillId="0" borderId="0" xfId="0" applyNumberFormat="1" applyFont="1"/>
    <xf numFmtId="0" fontId="31" fillId="0" borderId="0" xfId="0" applyFont="1"/>
    <xf numFmtId="0" fontId="31" fillId="0" borderId="0" xfId="0" applyFont="1" applyAlignment="1">
      <alignment horizontal="right"/>
    </xf>
    <xf numFmtId="5" fontId="31" fillId="0" borderId="0" xfId="0" applyNumberFormat="1" applyFont="1" applyAlignment="1">
      <alignment horizontal="right"/>
    </xf>
    <xf numFmtId="164" fontId="31" fillId="0" borderId="0" xfId="0" applyNumberFormat="1" applyFont="1"/>
    <xf numFmtId="3" fontId="7" fillId="6" borderId="0" xfId="0" applyNumberFormat="1" applyFont="1" applyFill="1"/>
    <xf numFmtId="3" fontId="21" fillId="6" borderId="0" xfId="0" applyNumberFormat="1" applyFont="1" applyFill="1"/>
    <xf numFmtId="37" fontId="32" fillId="0" borderId="0" xfId="0" applyNumberFormat="1" applyFont="1"/>
  </cellXfs>
  <cellStyles count="3">
    <cellStyle name="Hyperlink" xfId="1" builtinId="8"/>
    <cellStyle name="Normal" xfId="0" builtinId="0"/>
    <cellStyle name="Percent" xfId="2" builtinId="5"/>
  </cellStyles>
  <dxfs count="8">
    <dxf>
      <font>
        <color theme="6" tint="9.9948118533890809E-2"/>
      </font>
      <fill>
        <patternFill>
          <bgColor theme="6" tint="0.89996032593768116"/>
        </patternFill>
      </fill>
    </dxf>
    <dxf>
      <font>
        <color theme="6" tint="9.9948118533890809E-2"/>
      </font>
      <fill>
        <patternFill>
          <bgColor theme="6" tint="0.89996032593768116"/>
        </patternFill>
      </fill>
    </dxf>
    <dxf>
      <font>
        <color theme="6" tint="9.9948118533890809E-2"/>
      </font>
      <fill>
        <patternFill>
          <bgColor theme="6" tint="0.89996032593768116"/>
        </patternFill>
      </fill>
    </dxf>
    <dxf>
      <font>
        <color theme="6" tint="9.9948118533890809E-2"/>
      </font>
      <fill>
        <patternFill>
          <bgColor theme="6" tint="0.89996032593768116"/>
        </patternFill>
      </fill>
    </dxf>
    <dxf>
      <font>
        <color theme="6" tint="9.9948118533890809E-2"/>
      </font>
      <fill>
        <patternFill>
          <bgColor theme="6" tint="0.89996032593768116"/>
        </patternFill>
      </fill>
    </dxf>
    <dxf>
      <font>
        <color theme="6" tint="9.9948118533890809E-2"/>
      </font>
      <fill>
        <patternFill>
          <bgColor theme="6" tint="0.89996032593768116"/>
        </patternFill>
      </fill>
    </dxf>
    <dxf>
      <font>
        <color theme="6" tint="9.9948118533890809E-2"/>
      </font>
      <fill>
        <patternFill>
          <bgColor theme="6" tint="0.89996032593768116"/>
        </patternFill>
      </fill>
    </dxf>
    <dxf>
      <font>
        <color theme="6" tint="9.9948118533890809E-2"/>
      </font>
      <fill>
        <patternFill>
          <bgColor theme="6" tint="0.89996032593768116"/>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mn-lt"/>
                <a:ea typeface="+mn-ea"/>
                <a:cs typeface="+mn-cs"/>
              </a:defRPr>
            </a:pPr>
            <a:r>
              <a:rPr lang="en-IE" b="1">
                <a:latin typeface="Segoe UI" panose="020B0502040204020203" pitchFamily="34" charset="0"/>
                <a:cs typeface="Segoe UI" panose="020B0502040204020203" pitchFamily="34" charset="0"/>
              </a:rPr>
              <a:t>Fiscal Space</a:t>
            </a:r>
          </a:p>
          <a:p>
            <a:pPr algn="l">
              <a:defRPr b="1"/>
            </a:pPr>
            <a:r>
              <a:rPr lang="en-IE" sz="1000" b="0">
                <a:latin typeface="Segoe UI" panose="020B0502040204020203" pitchFamily="34" charset="0"/>
                <a:cs typeface="Segoe UI" panose="020B0502040204020203" pitchFamily="34" charset="0"/>
              </a:rPr>
              <a:t>€</a:t>
            </a:r>
            <a:r>
              <a:rPr lang="en-IE" sz="1000" b="0" baseline="0">
                <a:latin typeface="Segoe UI" panose="020B0502040204020203" pitchFamily="34" charset="0"/>
                <a:cs typeface="Segoe UI" panose="020B0502040204020203" pitchFamily="34" charset="0"/>
              </a:rPr>
              <a:t> billions</a:t>
            </a:r>
            <a:endParaRPr lang="en-IE" sz="1000" b="0">
              <a:latin typeface="Segoe UI" panose="020B0502040204020203" pitchFamily="34" charset="0"/>
              <a:cs typeface="Segoe UI" panose="020B0502040204020203" pitchFamily="34" charset="0"/>
            </a:endParaRPr>
          </a:p>
        </c:rich>
      </c:tx>
      <c:layout>
        <c:manualLayout>
          <c:xMode val="edge"/>
          <c:yMode val="edge"/>
          <c:x val="9.9999999999999846E-3"/>
          <c:y val="2.7777777777777776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9340280911659908E-2"/>
          <c:y val="0.25089113823749454"/>
          <c:w val="0.68017715562007641"/>
          <c:h val="0.60452887087871399"/>
        </c:manualLayout>
      </c:layout>
      <c:barChart>
        <c:barDir val="col"/>
        <c:grouping val="clustered"/>
        <c:varyColors val="0"/>
        <c:ser>
          <c:idx val="0"/>
          <c:order val="0"/>
          <c:spPr>
            <a:noFill/>
            <a:ln>
              <a:noFill/>
            </a:ln>
            <a:effectLst>
              <a:outerShdw dist="25400" dir="16200000" rotWithShape="0">
                <a:prstClr val="black"/>
              </a:outerShdw>
            </a:effectLst>
          </c:spPr>
          <c:invertIfNegative val="0"/>
          <c:dPt>
            <c:idx val="0"/>
            <c:invertIfNegative val="0"/>
            <c:bubble3D val="0"/>
            <c:spPr>
              <a:noFill/>
              <a:ln>
                <a:noFill/>
              </a:ln>
              <a:effectLst>
                <a:outerShdw dist="25400" dir="16200000" rotWithShape="0">
                  <a:prstClr val="black">
                    <a:alpha val="59000"/>
                  </a:prstClr>
                </a:outerShdw>
              </a:effectLst>
            </c:spPr>
            <c:extLst>
              <c:ext xmlns:c16="http://schemas.microsoft.com/office/drawing/2014/chart" uri="{C3380CC4-5D6E-409C-BE32-E72D297353CC}">
                <c16:uniqueId val="{00000002-FE92-436F-BFE9-62263165BB18}"/>
              </c:ext>
            </c:extLst>
          </c:dPt>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Segoe UI" panose="020B0502040204020203" pitchFamily="34" charset="0"/>
                      <a:ea typeface="+mn-ea"/>
                      <a:cs typeface="Segoe UI" panose="020B0502040204020203"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2-FE92-436F-BFE9-62263165BB1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'Fiscal Space Calculator'!$E$8:$I$8</c:f>
              <c:numCache>
                <c:formatCode>General</c:formatCode>
                <c:ptCount val="5"/>
                <c:pt idx="0">
                  <c:v>2021</c:v>
                </c:pt>
                <c:pt idx="1">
                  <c:v>2022</c:v>
                </c:pt>
                <c:pt idx="2">
                  <c:v>2023</c:v>
                </c:pt>
                <c:pt idx="3">
                  <c:v>2024</c:v>
                </c:pt>
                <c:pt idx="4">
                  <c:v>2025</c:v>
                </c:pt>
              </c:numCache>
            </c:numRef>
          </c:cat>
          <c:val>
            <c:numRef>
              <c:f>'Fiscal Space Calculator'!$E$249:$I$249</c:f>
              <c:numCache>
                <c:formatCode>#,##0_);\(#,##0\)</c:formatCode>
                <c:ptCount val="5"/>
                <c:pt idx="0">
                  <c:v>3646</c:v>
                </c:pt>
                <c:pt idx="1">
                  <c:v>4430.3144554092432</c:v>
                </c:pt>
                <c:pt idx="2">
                  <c:v>4263.4476043516042</c:v>
                </c:pt>
                <c:pt idx="3">
                  <c:v>4558.2320336549456</c:v>
                </c:pt>
                <c:pt idx="4">
                  <c:v>5087.215802619874</c:v>
                </c:pt>
              </c:numCache>
            </c:numRef>
          </c:val>
          <c:extLst>
            <c:ext xmlns:c16="http://schemas.microsoft.com/office/drawing/2014/chart" uri="{C3380CC4-5D6E-409C-BE32-E72D297353CC}">
              <c16:uniqueId val="{00000000-8B34-4BB3-97DE-2A7337464814}"/>
            </c:ext>
          </c:extLst>
        </c:ser>
        <c:ser>
          <c:idx val="1"/>
          <c:order val="1"/>
          <c:spPr>
            <a:solidFill>
              <a:schemeClr val="accent4">
                <a:alpha val="50196"/>
              </a:schemeClr>
            </a:solidFill>
            <a:ln>
              <a:noFill/>
            </a:ln>
            <a:effectLst/>
          </c:spPr>
          <c:invertIfNegative val="0"/>
          <c:dPt>
            <c:idx val="0"/>
            <c:invertIfNegative val="0"/>
            <c:bubble3D val="0"/>
            <c:spPr>
              <a:solidFill>
                <a:schemeClr val="bg1">
                  <a:lumMod val="75000"/>
                  <a:alpha val="50196"/>
                </a:schemeClr>
              </a:solidFill>
              <a:ln>
                <a:noFill/>
              </a:ln>
              <a:effectLst/>
            </c:spPr>
            <c:extLst>
              <c:ext xmlns:c16="http://schemas.microsoft.com/office/drawing/2014/chart" uri="{C3380CC4-5D6E-409C-BE32-E72D297353CC}">
                <c16:uniqueId val="{00000001-FE92-436F-BFE9-62263165BB18}"/>
              </c:ext>
            </c:extLst>
          </c:dPt>
          <c:dLbls>
            <c:dLbl>
              <c:idx val="1"/>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accent4">
                          <a:lumMod val="75000"/>
                        </a:schemeClr>
                      </a:solidFill>
                      <a:latin typeface="Segoe UI" panose="020B0502040204020203" pitchFamily="34" charset="0"/>
                      <a:ea typeface="+mn-ea"/>
                      <a:cs typeface="Segoe UI" panose="020B0502040204020203"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FE92-436F-BFE9-62263165BB18}"/>
                </c:ext>
              </c:extLst>
            </c:dLbl>
            <c:dLbl>
              <c:idx val="2"/>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accent4">
                          <a:lumMod val="75000"/>
                        </a:schemeClr>
                      </a:solidFill>
                      <a:latin typeface="Segoe UI" panose="020B0502040204020203" pitchFamily="34" charset="0"/>
                      <a:ea typeface="+mn-ea"/>
                      <a:cs typeface="Segoe UI" panose="020B0502040204020203"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FE92-436F-BFE9-62263165BB18}"/>
                </c:ext>
              </c:extLst>
            </c:dLbl>
            <c:dLbl>
              <c:idx val="3"/>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accent4">
                          <a:lumMod val="75000"/>
                        </a:schemeClr>
                      </a:solidFill>
                      <a:latin typeface="Segoe UI" panose="020B0502040204020203" pitchFamily="34" charset="0"/>
                      <a:ea typeface="+mn-ea"/>
                      <a:cs typeface="Segoe UI" panose="020B0502040204020203"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FE92-436F-BFE9-62263165BB18}"/>
                </c:ext>
              </c:extLst>
            </c:dLbl>
            <c:dLbl>
              <c:idx val="4"/>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accent4">
                          <a:lumMod val="75000"/>
                        </a:schemeClr>
                      </a:solidFill>
                      <a:latin typeface="Segoe UI" panose="020B0502040204020203" pitchFamily="34" charset="0"/>
                      <a:ea typeface="+mn-ea"/>
                      <a:cs typeface="Segoe UI" panose="020B0502040204020203"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FE92-436F-BFE9-62263165BB1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Segoe UI" panose="020B0502040204020203" pitchFamily="34" charset="0"/>
                    <a:ea typeface="+mn-ea"/>
                    <a:cs typeface="Segoe UI" panose="020B0502040204020203"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'Fiscal Space Calculator'!$E$8:$I$8</c:f>
              <c:numCache>
                <c:formatCode>General</c:formatCode>
                <c:ptCount val="5"/>
                <c:pt idx="0">
                  <c:v>2021</c:v>
                </c:pt>
                <c:pt idx="1">
                  <c:v>2022</c:v>
                </c:pt>
                <c:pt idx="2">
                  <c:v>2023</c:v>
                </c:pt>
                <c:pt idx="3">
                  <c:v>2024</c:v>
                </c:pt>
                <c:pt idx="4">
                  <c:v>2025</c:v>
                </c:pt>
              </c:numCache>
            </c:numRef>
          </c:cat>
          <c:val>
            <c:numRef>
              <c:f>'Fiscal Space Calculator'!$E$254:$I$254</c:f>
              <c:numCache>
                <c:formatCode>#,##0_);\(#,##0\)</c:formatCode>
                <c:ptCount val="5"/>
                <c:pt idx="0">
                  <c:v>7294.2503257774379</c:v>
                </c:pt>
                <c:pt idx="1">
                  <c:v>4219</c:v>
                </c:pt>
                <c:pt idx="2">
                  <c:v>4328</c:v>
                </c:pt>
                <c:pt idx="3">
                  <c:v>4459</c:v>
                </c:pt>
                <c:pt idx="4">
                  <c:v>4084</c:v>
                </c:pt>
              </c:numCache>
            </c:numRef>
          </c:val>
          <c:extLst>
            <c:ext xmlns:c16="http://schemas.microsoft.com/office/drawing/2014/chart" uri="{C3380CC4-5D6E-409C-BE32-E72D297353CC}">
              <c16:uniqueId val="{00000001-8B34-4BB3-97DE-2A7337464814}"/>
            </c:ext>
          </c:extLst>
        </c:ser>
        <c:dLbls>
          <c:showLegendKey val="0"/>
          <c:showVal val="0"/>
          <c:showCatName val="0"/>
          <c:showSerName val="0"/>
          <c:showPercent val="0"/>
          <c:showBubbleSize val="0"/>
        </c:dLbls>
        <c:gapWidth val="70"/>
        <c:overlap val="100"/>
        <c:axId val="1485548256"/>
        <c:axId val="1485551864"/>
      </c:barChart>
      <c:catAx>
        <c:axId val="148554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485551864"/>
        <c:crosses val="autoZero"/>
        <c:auto val="1"/>
        <c:lblAlgn val="ctr"/>
        <c:lblOffset val="100"/>
        <c:noMultiLvlLbl val="0"/>
      </c:catAx>
      <c:valAx>
        <c:axId val="1485551864"/>
        <c:scaling>
          <c:orientation val="minMax"/>
        </c:scaling>
        <c:delete val="0"/>
        <c:axPos val="l"/>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485548256"/>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mn-lt"/>
                <a:ea typeface="+mn-ea"/>
                <a:cs typeface="+mn-cs"/>
              </a:defRPr>
            </a:pPr>
            <a:r>
              <a:rPr lang="en-IE" b="1">
                <a:latin typeface="Segoe UI" panose="020B0502040204020203" pitchFamily="34" charset="0"/>
                <a:cs typeface="Segoe UI" panose="020B0502040204020203" pitchFamily="34" charset="0"/>
              </a:rPr>
              <a:t>Net Debt ratio</a:t>
            </a:r>
          </a:p>
          <a:p>
            <a:pPr algn="l">
              <a:defRPr b="1"/>
            </a:pPr>
            <a:r>
              <a:rPr lang="en-IE" sz="1000" b="0">
                <a:latin typeface="Segoe UI" panose="020B0502040204020203" pitchFamily="34" charset="0"/>
                <a:cs typeface="Segoe UI" panose="020B0502040204020203" pitchFamily="34" charset="0"/>
              </a:rPr>
              <a:t>% GNI*</a:t>
            </a:r>
          </a:p>
        </c:rich>
      </c:tx>
      <c:layout>
        <c:manualLayout>
          <c:xMode val="edge"/>
          <c:yMode val="edge"/>
          <c:x val="9.9999999999999846E-3"/>
          <c:y val="2.7777777777777776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79527777777778"/>
          <c:y val="0.24600608131888843"/>
          <c:w val="0.87818249999999998"/>
          <c:h val="0.6289541554717446"/>
        </c:manualLayout>
      </c:layout>
      <c:lineChart>
        <c:grouping val="standard"/>
        <c:varyColors val="0"/>
        <c:ser>
          <c:idx val="1"/>
          <c:order val="0"/>
          <c:tx>
            <c:strRef>
              <c:f>'Fiscal Space Calculator'!$C$82</c:f>
              <c:strCache>
                <c:ptCount val="1"/>
                <c:pt idx="0">
                  <c:v>   % GNI*</c:v>
                </c:pt>
              </c:strCache>
            </c:strRef>
          </c:tx>
          <c:spPr>
            <a:ln w="28575" cap="rnd">
              <a:solidFill>
                <a:schemeClr val="accent4"/>
              </a:solidFill>
              <a:round/>
            </a:ln>
            <a:effectLst/>
          </c:spPr>
          <c:marker>
            <c:symbol val="circle"/>
            <c:size val="6"/>
            <c:spPr>
              <a:solidFill>
                <a:schemeClr val="bg1"/>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'Fiscal Space Calculator'!$D$8:$I$8</c:f>
              <c:numCache>
                <c:formatCode>General</c:formatCode>
                <c:ptCount val="6"/>
                <c:pt idx="0">
                  <c:v>2020</c:v>
                </c:pt>
                <c:pt idx="1">
                  <c:v>2021</c:v>
                </c:pt>
                <c:pt idx="2">
                  <c:v>2022</c:v>
                </c:pt>
                <c:pt idx="3">
                  <c:v>2023</c:v>
                </c:pt>
                <c:pt idx="4">
                  <c:v>2024</c:v>
                </c:pt>
                <c:pt idx="5">
                  <c:v>2025</c:v>
                </c:pt>
              </c:numCache>
            </c:numRef>
          </c:cat>
          <c:val>
            <c:numRef>
              <c:f>'Fiscal Space Calculator'!$D$82:$I$82</c:f>
              <c:numCache>
                <c:formatCode>#,##0.0;\-#,##0.0</c:formatCode>
                <c:ptCount val="6"/>
                <c:pt idx="0">
                  <c:v>92.518180697645761</c:v>
                </c:pt>
                <c:pt idx="1">
                  <c:v>97.919260587276355</c:v>
                </c:pt>
                <c:pt idx="2">
                  <c:v>96.270241995272116</c:v>
                </c:pt>
                <c:pt idx="3">
                  <c:v>95.106403845287815</c:v>
                </c:pt>
                <c:pt idx="4">
                  <c:v>93.883864403074654</c:v>
                </c:pt>
                <c:pt idx="5">
                  <c:v>92.71791316538885</c:v>
                </c:pt>
              </c:numCache>
            </c:numRef>
          </c:val>
          <c:smooth val="0"/>
          <c:extLst>
            <c:ext xmlns:c16="http://schemas.microsoft.com/office/drawing/2014/chart" uri="{C3380CC4-5D6E-409C-BE32-E72D297353CC}">
              <c16:uniqueId val="{00000001-3871-4D80-BE4F-4EF7134E1FE6}"/>
            </c:ext>
          </c:extLst>
        </c:ser>
        <c:dLbls>
          <c:showLegendKey val="0"/>
          <c:showVal val="0"/>
          <c:showCatName val="0"/>
          <c:showSerName val="0"/>
          <c:showPercent val="0"/>
          <c:showBubbleSize val="0"/>
        </c:dLbls>
        <c:marker val="1"/>
        <c:smooth val="0"/>
        <c:axId val="1485548256"/>
        <c:axId val="1485551864"/>
      </c:lineChart>
      <c:catAx>
        <c:axId val="148554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485551864"/>
        <c:crosses val="autoZero"/>
        <c:auto val="1"/>
        <c:lblAlgn val="ctr"/>
        <c:lblOffset val="100"/>
        <c:noMultiLvlLbl val="0"/>
      </c:catAx>
      <c:valAx>
        <c:axId val="148555186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485548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mn-lt"/>
                <a:ea typeface="+mn-ea"/>
                <a:cs typeface="+mn-cs"/>
              </a:defRPr>
            </a:pPr>
            <a:r>
              <a:rPr lang="en-IE" b="1">
                <a:latin typeface="Segoe UI" panose="020B0502040204020203" pitchFamily="34" charset="0"/>
                <a:cs typeface="Segoe UI" panose="020B0502040204020203" pitchFamily="34" charset="0"/>
              </a:rPr>
              <a:t>Budget balance</a:t>
            </a:r>
          </a:p>
          <a:p>
            <a:pPr algn="l">
              <a:defRPr b="1"/>
            </a:pPr>
            <a:r>
              <a:rPr lang="en-IE" sz="1000" b="0">
                <a:latin typeface="Segoe UI" panose="020B0502040204020203" pitchFamily="34" charset="0"/>
                <a:cs typeface="Segoe UI" panose="020B0502040204020203" pitchFamily="34" charset="0"/>
              </a:rPr>
              <a:t>% GNI*</a:t>
            </a:r>
          </a:p>
        </c:rich>
      </c:tx>
      <c:layout>
        <c:manualLayout>
          <c:xMode val="edge"/>
          <c:yMode val="edge"/>
          <c:x val="9.9999999999999846E-3"/>
          <c:y val="2.7777777777777776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3579999999999997E-2"/>
          <c:y val="0.24600608131888843"/>
          <c:w val="0.80764222222222226"/>
          <c:h val="0.6289541554717446"/>
        </c:manualLayout>
      </c:layout>
      <c:barChart>
        <c:barDir val="col"/>
        <c:grouping val="clustered"/>
        <c:varyColors val="0"/>
        <c:ser>
          <c:idx val="1"/>
          <c:order val="0"/>
          <c:spPr>
            <a:solidFill>
              <a:schemeClr val="accent3">
                <a:lumMod val="25000"/>
                <a:lumOff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'Fiscal Space Calculator'!$D$8:$I$8</c:f>
              <c:numCache>
                <c:formatCode>General</c:formatCode>
                <c:ptCount val="6"/>
                <c:pt idx="0">
                  <c:v>2020</c:v>
                </c:pt>
                <c:pt idx="1">
                  <c:v>2021</c:v>
                </c:pt>
                <c:pt idx="2">
                  <c:v>2022</c:v>
                </c:pt>
                <c:pt idx="3">
                  <c:v>2023</c:v>
                </c:pt>
                <c:pt idx="4">
                  <c:v>2024</c:v>
                </c:pt>
                <c:pt idx="5">
                  <c:v>2025</c:v>
                </c:pt>
              </c:numCache>
            </c:numRef>
          </c:cat>
          <c:val>
            <c:numRef>
              <c:f>'Fiscal Space Calculator'!$D$78:$I$78</c:f>
              <c:numCache>
                <c:formatCode>#,##0.0;\-#,##0.0</c:formatCode>
                <c:ptCount val="6"/>
                <c:pt idx="0">
                  <c:v>-9.0797485517071372</c:v>
                </c:pt>
                <c:pt idx="1">
                  <c:v>-8.5966741831034508</c:v>
                </c:pt>
                <c:pt idx="2">
                  <c:v>-5.6496273313096683</c:v>
                </c:pt>
                <c:pt idx="3">
                  <c:v>-3.3724874774189266</c:v>
                </c:pt>
                <c:pt idx="4">
                  <c:v>-3.0809870393532992</c:v>
                </c:pt>
                <c:pt idx="5">
                  <c:v>-2.844731832187025</c:v>
                </c:pt>
              </c:numCache>
            </c:numRef>
          </c:val>
          <c:extLst>
            <c:ext xmlns:c16="http://schemas.microsoft.com/office/drawing/2014/chart" uri="{C3380CC4-5D6E-409C-BE32-E72D297353CC}">
              <c16:uniqueId val="{00000000-60FA-4820-90F0-B7D8D19A5CD0}"/>
            </c:ext>
          </c:extLst>
        </c:ser>
        <c:dLbls>
          <c:showLegendKey val="0"/>
          <c:showVal val="0"/>
          <c:showCatName val="0"/>
          <c:showSerName val="0"/>
          <c:showPercent val="0"/>
          <c:showBubbleSize val="0"/>
        </c:dLbls>
        <c:gapWidth val="26"/>
        <c:axId val="1485548256"/>
        <c:axId val="1485551864"/>
      </c:barChart>
      <c:catAx>
        <c:axId val="14855482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485551864"/>
        <c:crosses val="autoZero"/>
        <c:auto val="1"/>
        <c:lblAlgn val="ctr"/>
        <c:lblOffset val="100"/>
        <c:noMultiLvlLbl val="0"/>
      </c:catAx>
      <c:valAx>
        <c:axId val="148555186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485548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sz="1400" b="1">
                <a:solidFill>
                  <a:schemeClr val="tx1">
                    <a:lumMod val="75000"/>
                    <a:lumOff val="25000"/>
                  </a:schemeClr>
                </a:solidFill>
                <a:latin typeface="Segoe UI" panose="020B0502040204020203" pitchFamily="34" charset="0"/>
                <a:cs typeface="Segoe UI" panose="020B0502040204020203" pitchFamily="34" charset="0"/>
              </a:rPr>
              <a:t>Change in debt ratio</a:t>
            </a:r>
          </a:p>
          <a:p>
            <a:pPr algn="l">
              <a:defRPr/>
            </a:pPr>
            <a:r>
              <a:rPr lang="en-US" sz="1100">
                <a:latin typeface="Segoe UI" panose="020B0502040204020203" pitchFamily="34" charset="0"/>
                <a:cs typeface="Segoe UI" panose="020B0502040204020203" pitchFamily="34" charset="0"/>
              </a:rPr>
              <a:t>percentage points</a:t>
            </a:r>
          </a:p>
        </c:rich>
      </c:tx>
      <c:layout>
        <c:manualLayout>
          <c:xMode val="edge"/>
          <c:yMode val="edge"/>
          <c:x val="3.0112854994396272E-2"/>
          <c:y val="2.68156330213757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780341587063957E-2"/>
          <c:y val="0.24214516618302337"/>
          <c:w val="0.86378838435528993"/>
          <c:h val="0.65417546151393602"/>
        </c:manualLayout>
      </c:layout>
      <c:lineChart>
        <c:grouping val="standard"/>
        <c:varyColors val="0"/>
        <c:ser>
          <c:idx val="0"/>
          <c:order val="0"/>
          <c:tx>
            <c:strRef>
              <c:f>'Fiscal Space Calculator'!$C$83</c:f>
              <c:strCache>
                <c:ptCount val="1"/>
                <c:pt idx="0">
                  <c:v>   annual change (percentage points)</c:v>
                </c:pt>
              </c:strCache>
            </c:strRef>
          </c:tx>
          <c:spPr>
            <a:ln w="28575" cap="rnd">
              <a:solidFill>
                <a:schemeClr val="bg2"/>
              </a:solidFill>
              <a:round/>
            </a:ln>
            <a:effectLst/>
          </c:spPr>
          <c:marker>
            <c:symbol val="none"/>
          </c:marker>
          <c:cat>
            <c:numRef>
              <c:f>'Fiscal Space Calculator'!$D$8:$I$8</c:f>
              <c:numCache>
                <c:formatCode>General</c:formatCode>
                <c:ptCount val="6"/>
                <c:pt idx="0">
                  <c:v>2020</c:v>
                </c:pt>
                <c:pt idx="1">
                  <c:v>2021</c:v>
                </c:pt>
                <c:pt idx="2">
                  <c:v>2022</c:v>
                </c:pt>
                <c:pt idx="3">
                  <c:v>2023</c:v>
                </c:pt>
                <c:pt idx="4">
                  <c:v>2024</c:v>
                </c:pt>
                <c:pt idx="5">
                  <c:v>2025</c:v>
                </c:pt>
              </c:numCache>
            </c:numRef>
          </c:cat>
          <c:val>
            <c:numRef>
              <c:f>'Fiscal Space Calculator'!$D$83:$I$83</c:f>
              <c:numCache>
                <c:formatCode>#,##0.0;\-#,##0.0</c:formatCode>
                <c:ptCount val="6"/>
                <c:pt idx="1">
                  <c:v>5.4010798896305943</c:v>
                </c:pt>
                <c:pt idx="2">
                  <c:v>-1.6490185920042393</c:v>
                </c:pt>
                <c:pt idx="3">
                  <c:v>-1.1638381499843007</c:v>
                </c:pt>
                <c:pt idx="4">
                  <c:v>-1.2225394422131615</c:v>
                </c:pt>
                <c:pt idx="5">
                  <c:v>-1.1659512376858032</c:v>
                </c:pt>
              </c:numCache>
            </c:numRef>
          </c:val>
          <c:smooth val="0"/>
          <c:extLst>
            <c:ext xmlns:c16="http://schemas.microsoft.com/office/drawing/2014/chart" uri="{C3380CC4-5D6E-409C-BE32-E72D297353CC}">
              <c16:uniqueId val="{00000000-35EB-4D6F-8767-7816774B4EDE}"/>
            </c:ext>
          </c:extLst>
        </c:ser>
        <c:ser>
          <c:idx val="1"/>
          <c:order val="1"/>
          <c:tx>
            <c:strRef>
              <c:f>'Fiscal Space Calculator'!$C$145</c:f>
              <c:strCache>
                <c:ptCount val="1"/>
                <c:pt idx="0">
                  <c:v>   annual change (p.p.)</c:v>
                </c:pt>
              </c:strCache>
            </c:strRef>
          </c:tx>
          <c:spPr>
            <a:ln w="28575" cap="rnd">
              <a:solidFill>
                <a:schemeClr val="accent4"/>
              </a:solidFill>
              <a:round/>
            </a:ln>
            <a:effectLst/>
          </c:spPr>
          <c:marker>
            <c:symbol val="none"/>
          </c:marker>
          <c:cat>
            <c:numRef>
              <c:f>'Fiscal Space Calculator'!$D$8:$I$8</c:f>
              <c:numCache>
                <c:formatCode>General</c:formatCode>
                <c:ptCount val="6"/>
                <c:pt idx="0">
                  <c:v>2020</c:v>
                </c:pt>
                <c:pt idx="1">
                  <c:v>2021</c:v>
                </c:pt>
                <c:pt idx="2">
                  <c:v>2022</c:v>
                </c:pt>
                <c:pt idx="3">
                  <c:v>2023</c:v>
                </c:pt>
                <c:pt idx="4">
                  <c:v>2024</c:v>
                </c:pt>
                <c:pt idx="5">
                  <c:v>2025</c:v>
                </c:pt>
              </c:numCache>
            </c:numRef>
          </c:cat>
          <c:val>
            <c:numRef>
              <c:f>'Fiscal Space Calculator'!$D$145:$I$145</c:f>
              <c:numCache>
                <c:formatCode>#,##0.0;\-#,##0.0</c:formatCode>
                <c:ptCount val="6"/>
                <c:pt idx="1">
                  <c:v>2.1034577099999998</c:v>
                </c:pt>
                <c:pt idx="2">
                  <c:v>-4.4039849699999998</c:v>
                </c:pt>
                <c:pt idx="3">
                  <c:v>-1.1638381499999999</c:v>
                </c:pt>
                <c:pt idx="4">
                  <c:v>-1.22253944</c:v>
                </c:pt>
                <c:pt idx="5">
                  <c:v>-1.1659512400000001</c:v>
                </c:pt>
              </c:numCache>
            </c:numRef>
          </c:val>
          <c:smooth val="0"/>
          <c:extLst>
            <c:ext xmlns:c16="http://schemas.microsoft.com/office/drawing/2014/chart" uri="{C3380CC4-5D6E-409C-BE32-E72D297353CC}">
              <c16:uniqueId val="{00000001-35EB-4D6F-8767-7816774B4EDE}"/>
            </c:ext>
          </c:extLst>
        </c:ser>
        <c:ser>
          <c:idx val="2"/>
          <c:order val="2"/>
          <c:tx>
            <c:strRef>
              <c:f>'Fiscal Space Calculator'!$C$325</c:f>
              <c:strCache>
                <c:ptCount val="1"/>
                <c:pt idx="0">
                  <c:v>Target change in GG net debt ratio</c:v>
                </c:pt>
              </c:strCache>
            </c:strRef>
          </c:tx>
          <c:spPr>
            <a:ln w="12700" cap="rnd">
              <a:solidFill>
                <a:schemeClr val="accent3">
                  <a:lumMod val="50000"/>
                  <a:lumOff val="50000"/>
                </a:schemeClr>
              </a:solidFill>
              <a:prstDash val="sysDash"/>
              <a:round/>
            </a:ln>
            <a:effectLst/>
          </c:spPr>
          <c:marker>
            <c:symbol val="none"/>
          </c:marker>
          <c:cat>
            <c:numRef>
              <c:f>'Fiscal Space Calculator'!$D$8:$I$8</c:f>
              <c:numCache>
                <c:formatCode>General</c:formatCode>
                <c:ptCount val="6"/>
                <c:pt idx="0">
                  <c:v>2020</c:v>
                </c:pt>
                <c:pt idx="1">
                  <c:v>2021</c:v>
                </c:pt>
                <c:pt idx="2">
                  <c:v>2022</c:v>
                </c:pt>
                <c:pt idx="3">
                  <c:v>2023</c:v>
                </c:pt>
                <c:pt idx="4">
                  <c:v>2024</c:v>
                </c:pt>
                <c:pt idx="5">
                  <c:v>2025</c:v>
                </c:pt>
              </c:numCache>
            </c:numRef>
          </c:cat>
          <c:val>
            <c:numRef>
              <c:f>'Fiscal Space Calculator'!$D$325:$I$325</c:f>
              <c:numCache>
                <c:formatCode>General</c:formatCode>
                <c:ptCount val="6"/>
                <c:pt idx="2" formatCode="#,##0_);\(#,##0\)">
                  <c:v>0</c:v>
                </c:pt>
                <c:pt idx="3" formatCode="#,##0_);\(#,##0\)">
                  <c:v>-1</c:v>
                </c:pt>
                <c:pt idx="4" formatCode="#,##0_);\(#,##0\)">
                  <c:v>-2</c:v>
                </c:pt>
                <c:pt idx="5" formatCode="#,##0_);\(#,##0\)">
                  <c:v>-3</c:v>
                </c:pt>
              </c:numCache>
            </c:numRef>
          </c:val>
          <c:smooth val="0"/>
          <c:extLst>
            <c:ext xmlns:c16="http://schemas.microsoft.com/office/drawing/2014/chart" uri="{C3380CC4-5D6E-409C-BE32-E72D297353CC}">
              <c16:uniqueId val="{00000002-35EB-4D6F-8767-7816774B4EDE}"/>
            </c:ext>
          </c:extLst>
        </c:ser>
        <c:dLbls>
          <c:showLegendKey val="0"/>
          <c:showVal val="0"/>
          <c:showCatName val="0"/>
          <c:showSerName val="0"/>
          <c:showPercent val="0"/>
          <c:showBubbleSize val="0"/>
        </c:dLbls>
        <c:smooth val="0"/>
        <c:axId val="416681167"/>
        <c:axId val="416682415"/>
      </c:lineChart>
      <c:catAx>
        <c:axId val="41668116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416682415"/>
        <c:crosses val="autoZero"/>
        <c:auto val="1"/>
        <c:lblAlgn val="ctr"/>
        <c:lblOffset val="100"/>
        <c:noMultiLvlLbl val="0"/>
      </c:catAx>
      <c:valAx>
        <c:axId val="41668241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416681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IE" b="1"/>
              <a:t>Change in non-interest spending</a:t>
            </a:r>
          </a:p>
          <a:p>
            <a:pPr algn="l">
              <a:defRPr/>
            </a:pPr>
            <a:r>
              <a:rPr lang="en-IE" sz="1100" b="0"/>
              <a:t>€ billion</a:t>
            </a:r>
          </a:p>
        </c:rich>
      </c:tx>
      <c:layout>
        <c:manualLayout>
          <c:xMode val="edge"/>
          <c:yMode val="edge"/>
          <c:x val="2.2471288474555241E-2"/>
          <c:y val="1.666666666666666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autoTitleDeleted val="0"/>
    <c:plotArea>
      <c:layout>
        <c:manualLayout>
          <c:layoutTarget val="inner"/>
          <c:xMode val="edge"/>
          <c:yMode val="edge"/>
          <c:x val="9.0034900780825974E-2"/>
          <c:y val="0.17728315033777878"/>
          <c:w val="0.87207251290233068"/>
          <c:h val="0.4719724327540642"/>
        </c:manualLayout>
      </c:layout>
      <c:barChart>
        <c:barDir val="col"/>
        <c:grouping val="stacked"/>
        <c:varyColors val="0"/>
        <c:ser>
          <c:idx val="1"/>
          <c:order val="1"/>
          <c:tx>
            <c:strRef>
              <c:f>'Fiscal Space Calculator'!$C$135</c:f>
              <c:strCache>
                <c:ptCount val="1"/>
                <c:pt idx="0">
                  <c:v>       due to Stand-Still costs</c:v>
                </c:pt>
              </c:strCache>
            </c:strRef>
          </c:tx>
          <c:spPr>
            <a:solidFill>
              <a:schemeClr val="accent2"/>
            </a:solidFill>
            <a:ln>
              <a:noFill/>
            </a:ln>
            <a:effectLst/>
          </c:spPr>
          <c:invertIfNegative val="0"/>
          <c:cat>
            <c:numRef>
              <c:f>'Fiscal Space Calculator'!$F$8:$I$8</c:f>
              <c:numCache>
                <c:formatCode>General</c:formatCode>
                <c:ptCount val="4"/>
                <c:pt idx="0">
                  <c:v>2022</c:v>
                </c:pt>
                <c:pt idx="1">
                  <c:v>2023</c:v>
                </c:pt>
                <c:pt idx="2">
                  <c:v>2024</c:v>
                </c:pt>
                <c:pt idx="3">
                  <c:v>2025</c:v>
                </c:pt>
              </c:numCache>
            </c:numRef>
          </c:cat>
          <c:val>
            <c:numRef>
              <c:f>'Fiscal Space Calculator'!$F$135:$I$135</c:f>
              <c:numCache>
                <c:formatCode>#,##0_);\(#,##0\)</c:formatCode>
                <c:ptCount val="4"/>
                <c:pt idx="0">
                  <c:v>2109</c:v>
                </c:pt>
                <c:pt idx="1">
                  <c:v>2358</c:v>
                </c:pt>
                <c:pt idx="2">
                  <c:v>2564</c:v>
                </c:pt>
                <c:pt idx="3">
                  <c:v>2654</c:v>
                </c:pt>
              </c:numCache>
            </c:numRef>
          </c:val>
          <c:extLst>
            <c:ext xmlns:c16="http://schemas.microsoft.com/office/drawing/2014/chart" uri="{C3380CC4-5D6E-409C-BE32-E72D297353CC}">
              <c16:uniqueId val="{00000000-4079-4ABE-B0AE-0E832C2CAA35}"/>
            </c:ext>
          </c:extLst>
        </c:ser>
        <c:ser>
          <c:idx val="2"/>
          <c:order val="2"/>
          <c:tx>
            <c:strRef>
              <c:f>'Fiscal Space Calculator'!$C$136</c:f>
              <c:strCache>
                <c:ptCount val="1"/>
                <c:pt idx="0">
                  <c:v>       due to pre-commitments: capital spending</c:v>
                </c:pt>
              </c:strCache>
            </c:strRef>
          </c:tx>
          <c:spPr>
            <a:solidFill>
              <a:schemeClr val="accent3"/>
            </a:solidFill>
            <a:ln>
              <a:noFill/>
            </a:ln>
            <a:effectLst/>
          </c:spPr>
          <c:invertIfNegative val="0"/>
          <c:cat>
            <c:numRef>
              <c:f>'Fiscal Space Calculator'!$F$8:$I$8</c:f>
              <c:numCache>
                <c:formatCode>General</c:formatCode>
                <c:ptCount val="4"/>
                <c:pt idx="0">
                  <c:v>2022</c:v>
                </c:pt>
                <c:pt idx="1">
                  <c:v>2023</c:v>
                </c:pt>
                <c:pt idx="2">
                  <c:v>2024</c:v>
                </c:pt>
                <c:pt idx="3">
                  <c:v>2025</c:v>
                </c:pt>
              </c:numCache>
            </c:numRef>
          </c:cat>
          <c:val>
            <c:numRef>
              <c:f>'Fiscal Space Calculator'!$F$136:$I$136</c:f>
              <c:numCache>
                <c:formatCode>#,##0_);\(#,##0\)</c:formatCode>
                <c:ptCount val="4"/>
                <c:pt idx="0">
                  <c:v>1190</c:v>
                </c:pt>
                <c:pt idx="1">
                  <c:v>1060</c:v>
                </c:pt>
                <c:pt idx="2">
                  <c:v>995</c:v>
                </c:pt>
                <c:pt idx="3">
                  <c:v>490</c:v>
                </c:pt>
              </c:numCache>
            </c:numRef>
          </c:val>
          <c:extLst>
            <c:ext xmlns:c16="http://schemas.microsoft.com/office/drawing/2014/chart" uri="{C3380CC4-5D6E-409C-BE32-E72D297353CC}">
              <c16:uniqueId val="{00000001-4079-4ABE-B0AE-0E832C2CAA35}"/>
            </c:ext>
          </c:extLst>
        </c:ser>
        <c:ser>
          <c:idx val="3"/>
          <c:order val="3"/>
          <c:tx>
            <c:strRef>
              <c:f>'Fiscal Space Calculator'!$C$137</c:f>
              <c:strCache>
                <c:ptCount val="1"/>
                <c:pt idx="0">
                  <c:v>       due to pre-commitments: demographic pressures</c:v>
                </c:pt>
              </c:strCache>
            </c:strRef>
          </c:tx>
          <c:spPr>
            <a:solidFill>
              <a:schemeClr val="accent4"/>
            </a:solidFill>
            <a:ln>
              <a:noFill/>
            </a:ln>
            <a:effectLst/>
          </c:spPr>
          <c:invertIfNegative val="0"/>
          <c:cat>
            <c:numRef>
              <c:f>'Fiscal Space Calculator'!$F$8:$I$8</c:f>
              <c:numCache>
                <c:formatCode>General</c:formatCode>
                <c:ptCount val="4"/>
                <c:pt idx="0">
                  <c:v>2022</c:v>
                </c:pt>
                <c:pt idx="1">
                  <c:v>2023</c:v>
                </c:pt>
                <c:pt idx="2">
                  <c:v>2024</c:v>
                </c:pt>
                <c:pt idx="3">
                  <c:v>2025</c:v>
                </c:pt>
              </c:numCache>
            </c:numRef>
          </c:cat>
          <c:val>
            <c:numRef>
              <c:f>'Fiscal Space Calculator'!$F$137:$I$137</c:f>
              <c:numCache>
                <c:formatCode>#,##0_);\(#,##0\)</c:formatCode>
                <c:ptCount val="4"/>
                <c:pt idx="0">
                  <c:v>920</c:v>
                </c:pt>
                <c:pt idx="1">
                  <c:v>910</c:v>
                </c:pt>
                <c:pt idx="2">
                  <c:v>900</c:v>
                </c:pt>
                <c:pt idx="3">
                  <c:v>940</c:v>
                </c:pt>
              </c:numCache>
            </c:numRef>
          </c:val>
          <c:extLst>
            <c:ext xmlns:c16="http://schemas.microsoft.com/office/drawing/2014/chart" uri="{C3380CC4-5D6E-409C-BE32-E72D297353CC}">
              <c16:uniqueId val="{00000002-4079-4ABE-B0AE-0E832C2CAA35}"/>
            </c:ext>
          </c:extLst>
        </c:ser>
        <c:ser>
          <c:idx val="4"/>
          <c:order val="4"/>
          <c:tx>
            <c:strRef>
              <c:f>'Fiscal Space Calculator'!$C$138</c:f>
              <c:strCache>
                <c:ptCount val="1"/>
                <c:pt idx="0">
                  <c:v>       due to other spending changes</c:v>
                </c:pt>
              </c:strCache>
            </c:strRef>
          </c:tx>
          <c:spPr>
            <a:solidFill>
              <a:schemeClr val="bg1">
                <a:lumMod val="85000"/>
              </a:schemeClr>
            </a:solidFill>
            <a:ln>
              <a:noFill/>
            </a:ln>
            <a:effectLst/>
          </c:spPr>
          <c:invertIfNegative val="0"/>
          <c:val>
            <c:numRef>
              <c:f>'Fiscal Space Calculator'!$F$138:$I$138</c:f>
              <c:numCache>
                <c:formatCode>#,##0_);\(#,##0\)</c:formatCode>
                <c:ptCount val="4"/>
                <c:pt idx="0">
                  <c:v>-5693</c:v>
                </c:pt>
                <c:pt idx="1">
                  <c:v>-3589</c:v>
                </c:pt>
                <c:pt idx="2">
                  <c:v>-296</c:v>
                </c:pt>
                <c:pt idx="3">
                  <c:v>482</c:v>
                </c:pt>
              </c:numCache>
            </c:numRef>
          </c:val>
          <c:extLst>
            <c:ext xmlns:c16="http://schemas.microsoft.com/office/drawing/2014/chart" uri="{C3380CC4-5D6E-409C-BE32-E72D297353CC}">
              <c16:uniqueId val="{00000003-4079-4ABE-B0AE-0E832C2CAA35}"/>
            </c:ext>
          </c:extLst>
        </c:ser>
        <c:ser>
          <c:idx val="5"/>
          <c:order val="5"/>
          <c:tx>
            <c:strRef>
              <c:f>'Fiscal Space Calculator'!$C$139</c:f>
              <c:strCache>
                <c:ptCount val="1"/>
                <c:pt idx="0">
                  <c:v>       due to new policies (spending increases or cuts)</c:v>
                </c:pt>
              </c:strCache>
            </c:strRef>
          </c:tx>
          <c:spPr>
            <a:solidFill>
              <a:schemeClr val="accent6"/>
            </a:solidFill>
            <a:ln>
              <a:noFill/>
            </a:ln>
            <a:effectLst/>
          </c:spPr>
          <c:invertIfNegative val="0"/>
          <c:val>
            <c:numRef>
              <c:f>'Fiscal Space Calculator'!$F$139:$I$139</c:f>
              <c:numCache>
                <c:formatCode>#,##0_);\(#,##0\)</c:formatCode>
                <c:ptCount val="4"/>
                <c:pt idx="0">
                  <c:v>0</c:v>
                </c:pt>
                <c:pt idx="1">
                  <c:v>0</c:v>
                </c:pt>
                <c:pt idx="2">
                  <c:v>0</c:v>
                </c:pt>
                <c:pt idx="3">
                  <c:v>0</c:v>
                </c:pt>
              </c:numCache>
            </c:numRef>
          </c:val>
          <c:extLst>
            <c:ext xmlns:c16="http://schemas.microsoft.com/office/drawing/2014/chart" uri="{C3380CC4-5D6E-409C-BE32-E72D297353CC}">
              <c16:uniqueId val="{00000004-4079-4ABE-B0AE-0E832C2CAA35}"/>
            </c:ext>
          </c:extLst>
        </c:ser>
        <c:dLbls>
          <c:showLegendKey val="0"/>
          <c:showVal val="0"/>
          <c:showCatName val="0"/>
          <c:showSerName val="0"/>
          <c:showPercent val="0"/>
          <c:showBubbleSize val="0"/>
        </c:dLbls>
        <c:gapWidth val="150"/>
        <c:overlap val="100"/>
        <c:axId val="1583035024"/>
        <c:axId val="1583033056"/>
      </c:barChart>
      <c:lineChart>
        <c:grouping val="standard"/>
        <c:varyColors val="0"/>
        <c:ser>
          <c:idx val="0"/>
          <c:order val="0"/>
          <c:tx>
            <c:strRef>
              <c:f>'Fiscal Space Calculator'!$C$134</c:f>
              <c:strCache>
                <c:ptCount val="1"/>
                <c:pt idx="0">
                  <c:v>    annual change </c:v>
                </c:pt>
              </c:strCache>
            </c:strRef>
          </c:tx>
          <c:spPr>
            <a:ln w="28575" cap="rnd">
              <a:noFill/>
              <a:round/>
            </a:ln>
            <a:effectLst/>
          </c:spPr>
          <c:marker>
            <c:symbol val="circle"/>
            <c:size val="7"/>
            <c:spPr>
              <a:solidFill>
                <a:schemeClr val="bg2"/>
              </a:solidFill>
              <a:ln w="9525">
                <a:noFill/>
              </a:ln>
              <a:effectLst/>
            </c:spPr>
          </c:marker>
          <c:cat>
            <c:numRef>
              <c:f>'Fiscal Space Calculator'!$F$8:$I$8</c:f>
              <c:numCache>
                <c:formatCode>General</c:formatCode>
                <c:ptCount val="4"/>
                <c:pt idx="0">
                  <c:v>2022</c:v>
                </c:pt>
                <c:pt idx="1">
                  <c:v>2023</c:v>
                </c:pt>
                <c:pt idx="2">
                  <c:v>2024</c:v>
                </c:pt>
                <c:pt idx="3">
                  <c:v>2025</c:v>
                </c:pt>
              </c:numCache>
            </c:numRef>
          </c:cat>
          <c:val>
            <c:numRef>
              <c:f>'Fiscal Space Calculator'!$F$134:$I$134</c:f>
              <c:numCache>
                <c:formatCode>#,##0_);\(#,##0\)</c:formatCode>
                <c:ptCount val="4"/>
                <c:pt idx="0">
                  <c:v>-1474</c:v>
                </c:pt>
                <c:pt idx="1">
                  <c:v>739</c:v>
                </c:pt>
                <c:pt idx="2">
                  <c:v>4163</c:v>
                </c:pt>
                <c:pt idx="3">
                  <c:v>4566</c:v>
                </c:pt>
              </c:numCache>
            </c:numRef>
          </c:val>
          <c:smooth val="0"/>
          <c:extLst>
            <c:ext xmlns:c16="http://schemas.microsoft.com/office/drawing/2014/chart" uri="{C3380CC4-5D6E-409C-BE32-E72D297353CC}">
              <c16:uniqueId val="{00000005-4079-4ABE-B0AE-0E832C2CAA35}"/>
            </c:ext>
          </c:extLst>
        </c:ser>
        <c:dLbls>
          <c:showLegendKey val="0"/>
          <c:showVal val="0"/>
          <c:showCatName val="0"/>
          <c:showSerName val="0"/>
          <c:showPercent val="0"/>
          <c:showBubbleSize val="0"/>
        </c:dLbls>
        <c:marker val="1"/>
        <c:smooth val="0"/>
        <c:axId val="1583035024"/>
        <c:axId val="1583033056"/>
      </c:lineChart>
      <c:catAx>
        <c:axId val="15830350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583033056"/>
        <c:crosses val="autoZero"/>
        <c:auto val="1"/>
        <c:lblAlgn val="ctr"/>
        <c:lblOffset val="100"/>
        <c:noMultiLvlLbl val="0"/>
      </c:catAx>
      <c:valAx>
        <c:axId val="15830330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583035024"/>
        <c:crosses val="autoZero"/>
        <c:crossBetween val="between"/>
        <c:dispUnits>
          <c:builtInUnit val="thousands"/>
        </c:dispUnits>
      </c:valAx>
      <c:spPr>
        <a:noFill/>
        <a:ln>
          <a:noFill/>
        </a:ln>
        <a:effectLst/>
      </c:spPr>
    </c:plotArea>
    <c:legend>
      <c:legendPos val="b"/>
      <c:layout>
        <c:manualLayout>
          <c:xMode val="edge"/>
          <c:yMode val="edge"/>
          <c:x val="3.8638232127759589E-2"/>
          <c:y val="0.72739243293869627"/>
          <c:w val="0.8641619947395216"/>
          <c:h val="0.2726075670613037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lang="en-IE" sz="1400" b="1" i="0" u="none" strike="noStrike" kern="1200" spc="0" baseline="0">
                <a:solidFill>
                  <a:sysClr val="windowText" lastClr="000000">
                    <a:lumMod val="65000"/>
                    <a:lumOff val="35000"/>
                  </a:sysClr>
                </a:solidFill>
                <a:latin typeface="Segoe UI" panose="020B0502040204020203" pitchFamily="34" charset="0"/>
                <a:ea typeface="+mn-ea"/>
                <a:cs typeface="Segoe UI" panose="020B0502040204020203" pitchFamily="34" charset="0"/>
              </a:defRPr>
            </a:pPr>
            <a:r>
              <a:rPr lang="en-IE" sz="1400" b="1" i="0" u="none" strike="noStrike" kern="1200" spc="0" baseline="0">
                <a:solidFill>
                  <a:sysClr val="windowText" lastClr="000000">
                    <a:lumMod val="65000"/>
                    <a:lumOff val="35000"/>
                  </a:sysClr>
                </a:solidFill>
                <a:latin typeface="Segoe UI" panose="020B0502040204020203" pitchFamily="34" charset="0"/>
                <a:ea typeface="+mn-ea"/>
                <a:cs typeface="Segoe UI" panose="020B0502040204020203" pitchFamily="34" charset="0"/>
              </a:rPr>
              <a:t>Spending vs limit</a:t>
            </a:r>
          </a:p>
          <a:p>
            <a:pPr algn="l">
              <a:defRPr lang="en-IE" b="1">
                <a:solidFill>
                  <a:sysClr val="windowText" lastClr="000000">
                    <a:lumMod val="65000"/>
                    <a:lumOff val="35000"/>
                  </a:sysClr>
                </a:solidFill>
                <a:latin typeface="Segoe UI" panose="020B0502040204020203" pitchFamily="34" charset="0"/>
                <a:cs typeface="Segoe UI" panose="020B0502040204020203" pitchFamily="34" charset="0"/>
              </a:defRPr>
            </a:pPr>
            <a:r>
              <a:rPr lang="en-IE" sz="1100" b="0" i="0" u="none" strike="noStrike" kern="1200" spc="0" baseline="0">
                <a:solidFill>
                  <a:sysClr val="windowText" lastClr="000000">
                    <a:lumMod val="65000"/>
                    <a:lumOff val="35000"/>
                  </a:sysClr>
                </a:solidFill>
                <a:latin typeface="Segoe UI" panose="020B0502040204020203" pitchFamily="34" charset="0"/>
                <a:ea typeface="+mn-ea"/>
                <a:cs typeface="Segoe UI" panose="020B0502040204020203" pitchFamily="34" charset="0"/>
              </a:rPr>
              <a:t>€ billions</a:t>
            </a:r>
          </a:p>
        </c:rich>
      </c:tx>
      <c:layout>
        <c:manualLayout>
          <c:xMode val="edge"/>
          <c:yMode val="edge"/>
          <c:x val="3.3609337193786079E-3"/>
          <c:y val="3.0769230769230771E-2"/>
        </c:manualLayout>
      </c:layout>
      <c:overlay val="0"/>
      <c:spPr>
        <a:noFill/>
        <a:ln>
          <a:noFill/>
        </a:ln>
        <a:effectLst/>
      </c:spPr>
      <c:txPr>
        <a:bodyPr rot="0" spcFirstLastPara="1" vertOverflow="ellipsis" vert="horz" wrap="square" anchor="ctr" anchorCtr="1"/>
        <a:lstStyle/>
        <a:p>
          <a:pPr algn="l">
            <a:defRPr lang="en-IE" sz="1400" b="1" i="0" u="none" strike="noStrike" kern="1200" spc="0" baseline="0">
              <a:solidFill>
                <a:sysClr val="windowText" lastClr="000000">
                  <a:lumMod val="65000"/>
                  <a:lumOff val="35000"/>
                </a:sysClr>
              </a:solidFill>
              <a:latin typeface="Segoe UI" panose="020B0502040204020203" pitchFamily="34" charset="0"/>
              <a:ea typeface="+mn-ea"/>
              <a:cs typeface="Segoe UI" panose="020B0502040204020203" pitchFamily="34" charset="0"/>
            </a:defRPr>
          </a:pPr>
          <a:endParaRPr lang="en-US"/>
        </a:p>
      </c:txPr>
    </c:title>
    <c:autoTitleDeleted val="0"/>
    <c:plotArea>
      <c:layout>
        <c:manualLayout>
          <c:layoutTarget val="inner"/>
          <c:xMode val="edge"/>
          <c:yMode val="edge"/>
          <c:x val="0.10683670131905076"/>
          <c:y val="0.26458563529156187"/>
          <c:w val="0.87850748085099895"/>
          <c:h val="0.62157253618973829"/>
        </c:manualLayout>
      </c:layout>
      <c:lineChart>
        <c:grouping val="standard"/>
        <c:varyColors val="0"/>
        <c:ser>
          <c:idx val="1"/>
          <c:order val="0"/>
          <c:tx>
            <c:strRef>
              <c:f>'Fiscal Space Calculator'!$C$256</c:f>
              <c:strCache>
                <c:ptCount val="1"/>
                <c:pt idx="0">
                  <c:v>Spending limit (increased by tax-raising measures)</c:v>
                </c:pt>
              </c:strCache>
            </c:strRef>
          </c:tx>
          <c:spPr>
            <a:ln w="19050" cap="rnd">
              <a:solidFill>
                <a:schemeClr val="accent3">
                  <a:lumMod val="50000"/>
                  <a:lumOff val="50000"/>
                </a:schemeClr>
              </a:solidFill>
              <a:prstDash val="sysDash"/>
              <a:round/>
            </a:ln>
            <a:effectLst/>
          </c:spPr>
          <c:marker>
            <c:symbol val="none"/>
          </c:marker>
          <c:cat>
            <c:numRef>
              <c:f>'Fiscal Space Calculator'!$D$8:$I$8</c:f>
              <c:numCache>
                <c:formatCode>General</c:formatCode>
                <c:ptCount val="6"/>
                <c:pt idx="0">
                  <c:v>2020</c:v>
                </c:pt>
                <c:pt idx="1">
                  <c:v>2021</c:v>
                </c:pt>
                <c:pt idx="2">
                  <c:v>2022</c:v>
                </c:pt>
                <c:pt idx="3">
                  <c:v>2023</c:v>
                </c:pt>
                <c:pt idx="4">
                  <c:v>2024</c:v>
                </c:pt>
                <c:pt idx="5">
                  <c:v>2025</c:v>
                </c:pt>
              </c:numCache>
            </c:numRef>
          </c:cat>
          <c:val>
            <c:numRef>
              <c:f>'Fiscal Space Calculator'!$D$256:$I$256</c:f>
              <c:numCache>
                <c:formatCode>#,##0</c:formatCode>
                <c:ptCount val="6"/>
                <c:pt idx="0">
                  <c:v>82098.613037330448</c:v>
                </c:pt>
                <c:pt idx="1">
                  <c:v>89374.913363107888</c:v>
                </c:pt>
                <c:pt idx="2" formatCode="#,##0_);\(#,##0\)">
                  <c:v>93805.227818517131</c:v>
                </c:pt>
                <c:pt idx="3" formatCode="#,##0_);\(#,##0\)">
                  <c:v>98068.675422868735</c:v>
                </c:pt>
                <c:pt idx="4" formatCode="#,##0_);\(#,##0\)">
                  <c:v>102626.90745652368</c:v>
                </c:pt>
                <c:pt idx="5" formatCode="#,##0_);\(#,##0\)">
                  <c:v>107714.12325914355</c:v>
                </c:pt>
              </c:numCache>
            </c:numRef>
          </c:val>
          <c:smooth val="0"/>
          <c:extLst>
            <c:ext xmlns:c16="http://schemas.microsoft.com/office/drawing/2014/chart" uri="{C3380CC4-5D6E-409C-BE32-E72D297353CC}">
              <c16:uniqueId val="{00000001-C9F9-4B8D-B4F5-B3D8DA45C029}"/>
            </c:ext>
          </c:extLst>
        </c:ser>
        <c:ser>
          <c:idx val="0"/>
          <c:order val="1"/>
          <c:tx>
            <c:strRef>
              <c:f>'Fiscal Space Calculator'!$C$257</c:f>
              <c:strCache>
                <c:ptCount val="1"/>
                <c:pt idx="0">
                  <c:v>Spending</c:v>
                </c:pt>
              </c:strCache>
            </c:strRef>
          </c:tx>
          <c:spPr>
            <a:ln w="19050" cap="rnd">
              <a:solidFill>
                <a:schemeClr val="accent4"/>
              </a:solidFill>
              <a:round/>
            </a:ln>
            <a:effectLst/>
          </c:spPr>
          <c:marker>
            <c:symbol val="none"/>
          </c:marker>
          <c:cat>
            <c:numRef>
              <c:f>'Fiscal Space Calculator'!$D$8:$I$8</c:f>
              <c:numCache>
                <c:formatCode>General</c:formatCode>
                <c:ptCount val="6"/>
                <c:pt idx="0">
                  <c:v>2020</c:v>
                </c:pt>
                <c:pt idx="1">
                  <c:v>2021</c:v>
                </c:pt>
                <c:pt idx="2">
                  <c:v>2022</c:v>
                </c:pt>
                <c:pt idx="3">
                  <c:v>2023</c:v>
                </c:pt>
                <c:pt idx="4">
                  <c:v>2024</c:v>
                </c:pt>
                <c:pt idx="5">
                  <c:v>2025</c:v>
                </c:pt>
              </c:numCache>
            </c:numRef>
          </c:cat>
          <c:val>
            <c:numRef>
              <c:f>'Fiscal Space Calculator'!$D$257:$I$257</c:f>
              <c:numCache>
                <c:formatCode>#,##0</c:formatCode>
                <c:ptCount val="6"/>
                <c:pt idx="1">
                  <c:v>89374.913363107888</c:v>
                </c:pt>
                <c:pt idx="2" formatCode="#,##0_);\(#,##0\)">
                  <c:v>93593.913363107888</c:v>
                </c:pt>
                <c:pt idx="3" formatCode="#,##0_);\(#,##0\)">
                  <c:v>97921.913363107888</c:v>
                </c:pt>
                <c:pt idx="4" formatCode="#,##0_);\(#,##0\)">
                  <c:v>102380.91336310789</c:v>
                </c:pt>
                <c:pt idx="5" formatCode="#,##0_);\(#,##0\)">
                  <c:v>106464.91336310789</c:v>
                </c:pt>
              </c:numCache>
            </c:numRef>
          </c:val>
          <c:smooth val="0"/>
          <c:extLst>
            <c:ext xmlns:c16="http://schemas.microsoft.com/office/drawing/2014/chart" uri="{C3380CC4-5D6E-409C-BE32-E72D297353CC}">
              <c16:uniqueId val="{00000000-C9F9-4B8D-B4F5-B3D8DA45C029}"/>
            </c:ext>
          </c:extLst>
        </c:ser>
        <c:dLbls>
          <c:showLegendKey val="0"/>
          <c:showVal val="0"/>
          <c:showCatName val="0"/>
          <c:showSerName val="0"/>
          <c:showPercent val="0"/>
          <c:showBubbleSize val="0"/>
        </c:dLbls>
        <c:smooth val="0"/>
        <c:axId val="1558864944"/>
        <c:axId val="1558867896"/>
      </c:lineChart>
      <c:catAx>
        <c:axId val="155886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558867896"/>
        <c:crosses val="autoZero"/>
        <c:auto val="1"/>
        <c:lblAlgn val="ctr"/>
        <c:lblOffset val="100"/>
        <c:noMultiLvlLbl val="0"/>
      </c:catAx>
      <c:valAx>
        <c:axId val="1558867896"/>
        <c:scaling>
          <c:orientation val="minMax"/>
          <c:min val="79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558864944"/>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3141028</xdr:colOff>
      <xdr:row>1</xdr:row>
      <xdr:rowOff>58520</xdr:rowOff>
    </xdr:from>
    <xdr:to>
      <xdr:col>4</xdr:col>
      <xdr:colOff>339725</xdr:colOff>
      <xdr:row>6</xdr:row>
      <xdr:rowOff>92075</xdr:rowOff>
    </xdr:to>
    <xdr:pic>
      <xdr:nvPicPr>
        <xdr:cNvPr id="8" name="Picture 7">
          <a:extLst>
            <a:ext uri="{FF2B5EF4-FFF2-40B4-BE49-F238E27FC236}">
              <a16:creationId xmlns:a16="http://schemas.microsoft.com/office/drawing/2014/main" id="{C43D2038-8E81-4546-8A9E-3DEAFE1A4458}"/>
            </a:ext>
          </a:extLst>
        </xdr:cNvPr>
        <xdr:cNvPicPr>
          <a:picLocks noChangeAspect="1"/>
        </xdr:cNvPicPr>
      </xdr:nvPicPr>
      <xdr:blipFill rotWithShape="1">
        <a:blip xmlns:r="http://schemas.openxmlformats.org/officeDocument/2006/relationships" r:embed="rId1"/>
        <a:srcRect t="1864" b="661"/>
        <a:stretch/>
      </xdr:blipFill>
      <xdr:spPr>
        <a:xfrm>
          <a:off x="3607753" y="153770"/>
          <a:ext cx="1897697" cy="1017805"/>
        </a:xfrm>
        <a:prstGeom prst="rect">
          <a:avLst/>
        </a:prstGeom>
      </xdr:spPr>
    </xdr:pic>
    <xdr:clientData/>
  </xdr:twoCellAnchor>
  <xdr:twoCellAnchor editAs="oneCell">
    <xdr:from>
      <xdr:col>1</xdr:col>
      <xdr:colOff>403226</xdr:colOff>
      <xdr:row>3</xdr:row>
      <xdr:rowOff>6350</xdr:rowOff>
    </xdr:from>
    <xdr:to>
      <xdr:col>2</xdr:col>
      <xdr:colOff>2084344</xdr:colOff>
      <xdr:row>5</xdr:row>
      <xdr:rowOff>111124</xdr:rowOff>
    </xdr:to>
    <xdr:pic>
      <xdr:nvPicPr>
        <xdr:cNvPr id="4" name="Picture 2">
          <a:extLst>
            <a:ext uri="{FF2B5EF4-FFF2-40B4-BE49-F238E27FC236}">
              <a16:creationId xmlns:a16="http://schemas.microsoft.com/office/drawing/2014/main" id="{E1277646-D460-4DD0-8D16-F1EE64DC5C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351" y="463550"/>
          <a:ext cx="2119268" cy="523874"/>
        </a:xfrm>
        <a:prstGeom prst="rect">
          <a:avLst/>
        </a:prstGeom>
      </xdr:spPr>
    </xdr:pic>
    <xdr:clientData/>
  </xdr:twoCellAnchor>
  <xdr:twoCellAnchor>
    <xdr:from>
      <xdr:col>2</xdr:col>
      <xdr:colOff>179292</xdr:colOff>
      <xdr:row>85</xdr:row>
      <xdr:rowOff>212909</xdr:rowOff>
    </xdr:from>
    <xdr:to>
      <xdr:col>2</xdr:col>
      <xdr:colOff>3779292</xdr:colOff>
      <xdr:row>97</xdr:row>
      <xdr:rowOff>177968</xdr:rowOff>
    </xdr:to>
    <xdr:graphicFrame macro="">
      <xdr:nvGraphicFramePr>
        <xdr:cNvPr id="9" name="Chart 8">
          <a:extLst>
            <a:ext uri="{FF2B5EF4-FFF2-40B4-BE49-F238E27FC236}">
              <a16:creationId xmlns:a16="http://schemas.microsoft.com/office/drawing/2014/main" id="{2EDFD460-2B4B-4CBA-920C-4D1B1C736C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381000</xdr:colOff>
      <xdr:row>86</xdr:row>
      <xdr:rowOff>11205</xdr:rowOff>
    </xdr:from>
    <xdr:to>
      <xdr:col>9</xdr:col>
      <xdr:colOff>148588</xdr:colOff>
      <xdr:row>97</xdr:row>
      <xdr:rowOff>189176</xdr:rowOff>
    </xdr:to>
    <xdr:graphicFrame macro="">
      <xdr:nvGraphicFramePr>
        <xdr:cNvPr id="3" name="Chart 6">
          <a:extLst>
            <a:ext uri="{FF2B5EF4-FFF2-40B4-BE49-F238E27FC236}">
              <a16:creationId xmlns:a16="http://schemas.microsoft.com/office/drawing/2014/main" id="{3765FE12-C0BF-4224-860C-E51F6036F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156882</xdr:colOff>
      <xdr:row>100</xdr:row>
      <xdr:rowOff>156883</xdr:rowOff>
    </xdr:from>
    <xdr:to>
      <xdr:col>2</xdr:col>
      <xdr:colOff>3756882</xdr:colOff>
      <xdr:row>112</xdr:row>
      <xdr:rowOff>121941</xdr:rowOff>
    </xdr:to>
    <xdr:graphicFrame macro="">
      <xdr:nvGraphicFramePr>
        <xdr:cNvPr id="14" name="Chart 13">
          <a:extLst>
            <a:ext uri="{FF2B5EF4-FFF2-40B4-BE49-F238E27FC236}">
              <a16:creationId xmlns:a16="http://schemas.microsoft.com/office/drawing/2014/main" id="{A4A29C74-840B-4C4A-8ED0-8A522B3515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201703</xdr:colOff>
      <xdr:row>9</xdr:row>
      <xdr:rowOff>145673</xdr:rowOff>
    </xdr:from>
    <xdr:to>
      <xdr:col>8</xdr:col>
      <xdr:colOff>392205</xdr:colOff>
      <xdr:row>15</xdr:row>
      <xdr:rowOff>168087</xdr:rowOff>
    </xdr:to>
    <xdr:sp macro="" textlink="">
      <xdr:nvSpPr>
        <xdr:cNvPr id="17" name="Oval 16">
          <a:extLst>
            <a:ext uri="{FF2B5EF4-FFF2-40B4-BE49-F238E27FC236}">
              <a16:creationId xmlns:a16="http://schemas.microsoft.com/office/drawing/2014/main" id="{FED8E13E-5786-4F94-A671-9E3149DA0C49}"/>
            </a:ext>
          </a:extLst>
        </xdr:cNvPr>
        <xdr:cNvSpPr/>
      </xdr:nvSpPr>
      <xdr:spPr>
        <a:xfrm>
          <a:off x="6667497" y="2655791"/>
          <a:ext cx="1467973" cy="1400737"/>
        </a:xfrm>
        <a:prstGeom prst="ellips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IE" sz="1800" b="1">
              <a:latin typeface="Segoe UI" panose="020B0502040204020203" pitchFamily="34" charset="0"/>
              <a:cs typeface="Segoe UI" panose="020B0502040204020203" pitchFamily="34" charset="0"/>
            </a:rPr>
            <a:t>-3pp </a:t>
          </a:r>
        </a:p>
        <a:p>
          <a:pPr algn="ctr"/>
          <a:r>
            <a:rPr lang="en-IE" sz="1200">
              <a:latin typeface="Segoe UI" panose="020B0502040204020203" pitchFamily="34" charset="0"/>
              <a:cs typeface="Segoe UI" panose="020B0502040204020203" pitchFamily="34" charset="0"/>
            </a:rPr>
            <a:t>Debt ratio reduction by 2025</a:t>
          </a:r>
        </a:p>
      </xdr:txBody>
    </xdr:sp>
    <xdr:clientData/>
  </xdr:twoCellAnchor>
  <xdr:twoCellAnchor>
    <xdr:from>
      <xdr:col>3</xdr:col>
      <xdr:colOff>437026</xdr:colOff>
      <xdr:row>9</xdr:row>
      <xdr:rowOff>145673</xdr:rowOff>
    </xdr:from>
    <xdr:to>
      <xdr:col>5</xdr:col>
      <xdr:colOff>627528</xdr:colOff>
      <xdr:row>15</xdr:row>
      <xdr:rowOff>168087</xdr:rowOff>
    </xdr:to>
    <xdr:sp macro="" textlink="">
      <xdr:nvSpPr>
        <xdr:cNvPr id="18" name="Oval 17">
          <a:extLst>
            <a:ext uri="{FF2B5EF4-FFF2-40B4-BE49-F238E27FC236}">
              <a16:creationId xmlns:a16="http://schemas.microsoft.com/office/drawing/2014/main" id="{BCD1C3AD-BF53-4594-B345-F0D2530C3A14}"/>
            </a:ext>
          </a:extLst>
        </xdr:cNvPr>
        <xdr:cNvSpPr/>
      </xdr:nvSpPr>
      <xdr:spPr>
        <a:xfrm>
          <a:off x="4986614" y="2655791"/>
          <a:ext cx="1467973" cy="1400737"/>
        </a:xfrm>
        <a:prstGeom prst="ellips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IE" sz="1800" b="1">
              <a:latin typeface="Segoe UI" panose="020B0502040204020203" pitchFamily="34" charset="0"/>
              <a:cs typeface="Segoe UI" panose="020B0502040204020203" pitchFamily="34" charset="0"/>
            </a:rPr>
            <a:t>3%</a:t>
          </a:r>
        </a:p>
        <a:p>
          <a:pPr algn="ctr"/>
          <a:r>
            <a:rPr lang="en-IE" sz="1200">
              <a:latin typeface="Segoe UI" panose="020B0502040204020203" pitchFamily="34" charset="0"/>
              <a:cs typeface="Segoe UI" panose="020B0502040204020203" pitchFamily="34" charset="0"/>
            </a:rPr>
            <a:t>"Sustainable</a:t>
          </a:r>
          <a:r>
            <a:rPr lang="en-IE" sz="1200" baseline="0">
              <a:latin typeface="Segoe UI" panose="020B0502040204020203" pitchFamily="34" charset="0"/>
              <a:cs typeface="Segoe UI" panose="020B0502040204020203" pitchFamily="34" charset="0"/>
            </a:rPr>
            <a:t> </a:t>
          </a:r>
          <a:r>
            <a:rPr lang="en-IE" sz="1200">
              <a:latin typeface="Segoe UI" panose="020B0502040204020203" pitchFamily="34" charset="0"/>
              <a:cs typeface="Segoe UI" panose="020B0502040204020203" pitchFamily="34" charset="0"/>
            </a:rPr>
            <a:t>Growth"</a:t>
          </a:r>
        </a:p>
      </xdr:txBody>
    </xdr:sp>
    <xdr:clientData/>
  </xdr:twoCellAnchor>
  <xdr:twoCellAnchor>
    <xdr:from>
      <xdr:col>2</xdr:col>
      <xdr:colOff>306294</xdr:colOff>
      <xdr:row>161</xdr:row>
      <xdr:rowOff>0</xdr:rowOff>
    </xdr:from>
    <xdr:to>
      <xdr:col>2</xdr:col>
      <xdr:colOff>3935242</xdr:colOff>
      <xdr:row>174</xdr:row>
      <xdr:rowOff>114301</xdr:rowOff>
    </xdr:to>
    <xdr:graphicFrame macro="">
      <xdr:nvGraphicFramePr>
        <xdr:cNvPr id="12" name="Chart 11">
          <a:extLst>
            <a:ext uri="{FF2B5EF4-FFF2-40B4-BE49-F238E27FC236}">
              <a16:creationId xmlns:a16="http://schemas.microsoft.com/office/drawing/2014/main" id="{A58C9EE2-D156-4C8B-86AB-5748C55F80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283322</xdr:colOff>
      <xdr:row>161</xdr:row>
      <xdr:rowOff>56028</xdr:rowOff>
    </xdr:from>
    <xdr:to>
      <xdr:col>9</xdr:col>
      <xdr:colOff>134472</xdr:colOff>
      <xdr:row>179</xdr:row>
      <xdr:rowOff>152399</xdr:rowOff>
    </xdr:to>
    <xdr:graphicFrame macro="">
      <xdr:nvGraphicFramePr>
        <xdr:cNvPr id="15" name="Chart 14">
          <a:extLst>
            <a:ext uri="{FF2B5EF4-FFF2-40B4-BE49-F238E27FC236}">
              <a16:creationId xmlns:a16="http://schemas.microsoft.com/office/drawing/2014/main" id="{E12C5BA8-B1B3-4553-9216-A50386431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361950</xdr:colOff>
      <xdr:row>101</xdr:row>
      <xdr:rowOff>19050</xdr:rowOff>
    </xdr:from>
    <xdr:to>
      <xdr:col>9</xdr:col>
      <xdr:colOff>156882</xdr:colOff>
      <xdr:row>112</xdr:row>
      <xdr:rowOff>119902</xdr:rowOff>
    </xdr:to>
    <xdr:graphicFrame macro="">
      <xdr:nvGraphicFramePr>
        <xdr:cNvPr id="2" name="Chart 15">
          <a:extLst>
            <a:ext uri="{FF2B5EF4-FFF2-40B4-BE49-F238E27FC236}">
              <a16:creationId xmlns:a16="http://schemas.microsoft.com/office/drawing/2014/main" id="{68E1D146-6882-49D0-A849-4845B02B370B}"/>
            </a:ext>
            <a:ext uri="{147F2762-F138-4A5C-976F-8EAC2B608ADB}">
              <a16:predDERef xmlns:a16="http://schemas.microsoft.com/office/drawing/2014/main" pred="{E12C5BA8-B1B3-4553-9216-A50386431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0.78093</cdr:x>
      <cdr:y>0.625</cdr:y>
    </cdr:from>
    <cdr:to>
      <cdr:x>0.95956</cdr:x>
      <cdr:y>0.81897</cdr:y>
    </cdr:to>
    <cdr:sp macro="" textlink="">
      <cdr:nvSpPr>
        <cdr:cNvPr id="2" name="TextBox 1">
          <a:extLst xmlns:a="http://schemas.openxmlformats.org/drawingml/2006/main">
            <a:ext uri="{FF2B5EF4-FFF2-40B4-BE49-F238E27FC236}">
              <a16:creationId xmlns:a16="http://schemas.microsoft.com/office/drawing/2014/main" id="{79884927-628A-4A9D-9D38-7DFCD4ED2385}"/>
            </a:ext>
          </a:extLst>
        </cdr:cNvPr>
        <cdr:cNvSpPr txBox="1"/>
      </cdr:nvSpPr>
      <cdr:spPr>
        <a:xfrm xmlns:a="http://schemas.openxmlformats.org/drawingml/2006/main">
          <a:off x="3071619" y="1624856"/>
          <a:ext cx="702579" cy="5042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050">
              <a:solidFill>
                <a:schemeClr val="accent4"/>
              </a:solidFill>
              <a:latin typeface="Segoe UI" panose="020B0502040204020203" pitchFamily="34" charset="0"/>
              <a:cs typeface="Segoe UI" panose="020B0502040204020203" pitchFamily="34" charset="0"/>
            </a:rPr>
            <a:t>Space used</a:t>
          </a:r>
        </a:p>
      </cdr:txBody>
    </cdr:sp>
  </cdr:relSizeAnchor>
  <cdr:relSizeAnchor xmlns:cdr="http://schemas.openxmlformats.org/drawingml/2006/chartDrawing">
    <cdr:from>
      <cdr:x>0.77451</cdr:x>
      <cdr:y>0.38362</cdr:y>
    </cdr:from>
    <cdr:to>
      <cdr:x>0.98897</cdr:x>
      <cdr:y>0.57759</cdr:y>
    </cdr:to>
    <cdr:sp macro="" textlink="">
      <cdr:nvSpPr>
        <cdr:cNvPr id="3" name="TextBox 2">
          <a:extLst xmlns:a="http://schemas.openxmlformats.org/drawingml/2006/main">
            <a:ext uri="{FF2B5EF4-FFF2-40B4-BE49-F238E27FC236}">
              <a16:creationId xmlns:a16="http://schemas.microsoft.com/office/drawing/2014/main" id="{22F67DB3-B4EF-4FB6-92CA-9467A08779D1}"/>
            </a:ext>
          </a:extLst>
        </cdr:cNvPr>
        <cdr:cNvSpPr txBox="1"/>
      </cdr:nvSpPr>
      <cdr:spPr>
        <a:xfrm xmlns:a="http://schemas.openxmlformats.org/drawingml/2006/main">
          <a:off x="3046352" y="997325"/>
          <a:ext cx="843530" cy="5042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050">
              <a:solidFill>
                <a:schemeClr val="tx1">
                  <a:lumMod val="65000"/>
                  <a:lumOff val="35000"/>
                </a:schemeClr>
              </a:solidFill>
              <a:latin typeface="Segoe UI" panose="020B0502040204020203" pitchFamily="34" charset="0"/>
              <a:cs typeface="Segoe UI" panose="020B0502040204020203" pitchFamily="34" charset="0"/>
            </a:rPr>
            <a:t>Space available</a:t>
          </a:r>
        </a:p>
      </cdr:txBody>
    </cdr:sp>
  </cdr:relSizeAnchor>
</c:userShapes>
</file>

<file path=xl/drawings/drawing3.xml><?xml version="1.0" encoding="utf-8"?>
<c:userShapes xmlns:c="http://schemas.openxmlformats.org/drawingml/2006/chart">
  <cdr:relSizeAnchor xmlns:cdr="http://schemas.openxmlformats.org/drawingml/2006/chartDrawing">
    <cdr:from>
      <cdr:x>0.1808</cdr:x>
      <cdr:y>0.2257</cdr:y>
    </cdr:from>
    <cdr:to>
      <cdr:x>0.38188</cdr:x>
      <cdr:y>0.38994</cdr:y>
    </cdr:to>
    <cdr:sp macro="" textlink="">
      <cdr:nvSpPr>
        <cdr:cNvPr id="2" name="TextBox 1">
          <a:extLst xmlns:a="http://schemas.openxmlformats.org/drawingml/2006/main">
            <a:ext uri="{FF2B5EF4-FFF2-40B4-BE49-F238E27FC236}">
              <a16:creationId xmlns:a16="http://schemas.microsoft.com/office/drawing/2014/main" id="{5960F783-08A6-4960-BBA1-C5025D3586AD}"/>
            </a:ext>
          </a:extLst>
        </cdr:cNvPr>
        <cdr:cNvSpPr txBox="1"/>
      </cdr:nvSpPr>
      <cdr:spPr>
        <a:xfrm xmlns:a="http://schemas.openxmlformats.org/drawingml/2006/main">
          <a:off x="650875" y="641350"/>
          <a:ext cx="723902" cy="4667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a:solidFill>
                <a:schemeClr val="bg2"/>
              </a:solidFill>
            </a:rPr>
            <a:t>Net</a:t>
          </a:r>
        </a:p>
        <a:p xmlns:a="http://schemas.openxmlformats.org/drawingml/2006/main">
          <a:r>
            <a:rPr lang="en-IE" sz="1100">
              <a:solidFill>
                <a:schemeClr val="bg2"/>
              </a:solidFill>
            </a:rPr>
            <a:t>debt</a:t>
          </a:r>
        </a:p>
      </cdr:txBody>
    </cdr:sp>
  </cdr:relSizeAnchor>
  <cdr:relSizeAnchor xmlns:cdr="http://schemas.openxmlformats.org/drawingml/2006/chartDrawing">
    <cdr:from>
      <cdr:x>0.21784</cdr:x>
      <cdr:y>0.58771</cdr:y>
    </cdr:from>
    <cdr:to>
      <cdr:x>0.38188</cdr:x>
      <cdr:y>0.76536</cdr:y>
    </cdr:to>
    <cdr:sp macro="" textlink="">
      <cdr:nvSpPr>
        <cdr:cNvPr id="3" name="TextBox 1">
          <a:extLst xmlns:a="http://schemas.openxmlformats.org/drawingml/2006/main">
            <a:ext uri="{FF2B5EF4-FFF2-40B4-BE49-F238E27FC236}">
              <a16:creationId xmlns:a16="http://schemas.microsoft.com/office/drawing/2014/main" id="{84DB1CA5-8A8E-46EA-9983-AB13785AB427}"/>
            </a:ext>
          </a:extLst>
        </cdr:cNvPr>
        <cdr:cNvSpPr txBox="1"/>
      </cdr:nvSpPr>
      <cdr:spPr>
        <a:xfrm xmlns:a="http://schemas.openxmlformats.org/drawingml/2006/main">
          <a:off x="784225" y="1670050"/>
          <a:ext cx="590545" cy="5048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a:solidFill>
                <a:schemeClr val="accent4"/>
              </a:solidFill>
            </a:rPr>
            <a:t>Gross debt</a:t>
          </a:r>
        </a:p>
      </cdr:txBody>
    </cdr:sp>
  </cdr:relSizeAnchor>
  <cdr:relSizeAnchor xmlns:cdr="http://schemas.openxmlformats.org/drawingml/2006/chartDrawing">
    <cdr:from>
      <cdr:x>0.75494</cdr:x>
      <cdr:y>0.55419</cdr:y>
    </cdr:from>
    <cdr:to>
      <cdr:x>0.9772</cdr:x>
      <cdr:y>0.7095</cdr:y>
    </cdr:to>
    <cdr:sp macro="" textlink="">
      <cdr:nvSpPr>
        <cdr:cNvPr id="4" name="TextBox 1">
          <a:extLst xmlns:a="http://schemas.openxmlformats.org/drawingml/2006/main">
            <a:ext uri="{FF2B5EF4-FFF2-40B4-BE49-F238E27FC236}">
              <a16:creationId xmlns:a16="http://schemas.microsoft.com/office/drawing/2014/main" id="{AD2EE4B6-4068-45B8-B8BE-369DE74B80FD}"/>
            </a:ext>
          </a:extLst>
        </cdr:cNvPr>
        <cdr:cNvSpPr txBox="1"/>
      </cdr:nvSpPr>
      <cdr:spPr>
        <a:xfrm xmlns:a="http://schemas.openxmlformats.org/drawingml/2006/main">
          <a:off x="2717800" y="1574800"/>
          <a:ext cx="800106" cy="4413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a:solidFill>
                <a:schemeClr val="accent3">
                  <a:lumMod val="75000"/>
                  <a:lumOff val="25000"/>
                </a:schemeClr>
              </a:solidFill>
            </a:rPr>
            <a:t>Targeted reduction</a:t>
          </a:r>
        </a:p>
      </cdr:txBody>
    </cdr:sp>
  </cdr:relSizeAnchor>
</c:userShapes>
</file>

<file path=xl/drawings/drawing4.xml><?xml version="1.0" encoding="utf-8"?>
<c:userShapes xmlns:c="http://schemas.openxmlformats.org/drawingml/2006/chart">
  <cdr:relSizeAnchor xmlns:cdr="http://schemas.openxmlformats.org/drawingml/2006/chartDrawing">
    <cdr:from>
      <cdr:x>0.12112</cdr:x>
      <cdr:y>0.24748</cdr:y>
    </cdr:from>
    <cdr:to>
      <cdr:x>0.63882</cdr:x>
      <cdr:y>0.50353</cdr:y>
    </cdr:to>
    <cdr:sp macro="" textlink="">
      <cdr:nvSpPr>
        <cdr:cNvPr id="2" name="TextBox 1">
          <a:extLst xmlns:a="http://schemas.openxmlformats.org/drawingml/2006/main">
            <a:ext uri="{FF2B5EF4-FFF2-40B4-BE49-F238E27FC236}">
              <a16:creationId xmlns:a16="http://schemas.microsoft.com/office/drawing/2014/main" id="{3C0BFE86-4A3D-473D-911C-300B09C8589F}"/>
            </a:ext>
          </a:extLst>
        </cdr:cNvPr>
        <cdr:cNvSpPr txBox="1"/>
      </cdr:nvSpPr>
      <cdr:spPr>
        <a:xfrm xmlns:a="http://schemas.openxmlformats.org/drawingml/2006/main">
          <a:off x="445841" y="607199"/>
          <a:ext cx="1905722" cy="628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a:solidFill>
                <a:schemeClr val="accent3">
                  <a:lumMod val="50000"/>
                  <a:lumOff val="50000"/>
                </a:schemeClr>
              </a:solidFill>
              <a:latin typeface="Segoe UI" panose="020B0502040204020203" pitchFamily="34" charset="0"/>
              <a:cs typeface="Segoe UI" panose="020B0502040204020203" pitchFamily="34" charset="0"/>
            </a:rPr>
            <a:t>Spending</a:t>
          </a:r>
          <a:r>
            <a:rPr lang="en-IE" sz="1100" baseline="0">
              <a:solidFill>
                <a:schemeClr val="accent3">
                  <a:lumMod val="50000"/>
                  <a:lumOff val="50000"/>
                </a:schemeClr>
              </a:solidFill>
              <a:latin typeface="Segoe UI" panose="020B0502040204020203" pitchFamily="34" charset="0"/>
              <a:cs typeface="Segoe UI" panose="020B0502040204020203" pitchFamily="34" charset="0"/>
            </a:rPr>
            <a:t> l</a:t>
          </a:r>
          <a:r>
            <a:rPr lang="en-IE" sz="1100">
              <a:solidFill>
                <a:schemeClr val="accent3">
                  <a:lumMod val="50000"/>
                  <a:lumOff val="50000"/>
                </a:schemeClr>
              </a:solidFill>
              <a:latin typeface="Segoe UI" panose="020B0502040204020203" pitchFamily="34" charset="0"/>
              <a:cs typeface="Segoe UI" panose="020B0502040204020203" pitchFamily="34" charset="0"/>
            </a:rPr>
            <a:t>imit </a:t>
          </a:r>
        </a:p>
        <a:p xmlns:a="http://schemas.openxmlformats.org/drawingml/2006/main">
          <a:r>
            <a:rPr lang="en-IE" sz="1100">
              <a:solidFill>
                <a:schemeClr val="accent3">
                  <a:lumMod val="50000"/>
                  <a:lumOff val="50000"/>
                </a:schemeClr>
              </a:solidFill>
              <a:latin typeface="Segoe UI" panose="020B0502040204020203" pitchFamily="34" charset="0"/>
              <a:cs typeface="Segoe UI" panose="020B0502040204020203" pitchFamily="34" charset="0"/>
            </a:rPr>
            <a:t>(raised by tax</a:t>
          </a:r>
          <a:r>
            <a:rPr lang="en-IE" sz="1100" baseline="0">
              <a:solidFill>
                <a:schemeClr val="accent3">
                  <a:lumMod val="50000"/>
                  <a:lumOff val="50000"/>
                </a:schemeClr>
              </a:solidFill>
              <a:latin typeface="Segoe UI" panose="020B0502040204020203" pitchFamily="34" charset="0"/>
              <a:cs typeface="Segoe UI" panose="020B0502040204020203" pitchFamily="34" charset="0"/>
            </a:rPr>
            <a:t> increases)</a:t>
          </a:r>
          <a:endParaRPr lang="en-IE" sz="1100">
            <a:solidFill>
              <a:schemeClr val="accent3">
                <a:lumMod val="50000"/>
                <a:lumOff val="50000"/>
              </a:schemeClr>
            </a:solidFill>
            <a:latin typeface="Segoe UI" panose="020B0502040204020203" pitchFamily="34" charset="0"/>
            <a:cs typeface="Segoe UI" panose="020B0502040204020203" pitchFamily="34" charset="0"/>
          </a:endParaRPr>
        </a:p>
      </cdr:txBody>
    </cdr:sp>
  </cdr:relSizeAnchor>
  <cdr:relSizeAnchor xmlns:cdr="http://schemas.openxmlformats.org/drawingml/2006/chartDrawing">
    <cdr:from>
      <cdr:x>0.12202</cdr:x>
      <cdr:y>0.48553</cdr:y>
    </cdr:from>
    <cdr:to>
      <cdr:x>0.63973</cdr:x>
      <cdr:y>0.62529</cdr:y>
    </cdr:to>
    <cdr:sp macro="" textlink="">
      <cdr:nvSpPr>
        <cdr:cNvPr id="3" name="TextBox 2">
          <a:extLst xmlns:a="http://schemas.openxmlformats.org/drawingml/2006/main">
            <a:ext uri="{FF2B5EF4-FFF2-40B4-BE49-F238E27FC236}">
              <a16:creationId xmlns:a16="http://schemas.microsoft.com/office/drawing/2014/main" id="{47F8FCA7-94FD-48A5-91F0-3D7EA7229FE2}"/>
            </a:ext>
          </a:extLst>
        </cdr:cNvPr>
        <cdr:cNvSpPr txBox="1"/>
      </cdr:nvSpPr>
      <cdr:spPr>
        <a:xfrm xmlns:a="http://schemas.openxmlformats.org/drawingml/2006/main">
          <a:off x="449154" y="1191265"/>
          <a:ext cx="1905759" cy="3429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a:solidFill>
                <a:schemeClr val="accent4"/>
              </a:solidFill>
              <a:latin typeface="Segoe UI" panose="020B0502040204020203" pitchFamily="34" charset="0"/>
              <a:cs typeface="Segoe UI" panose="020B0502040204020203" pitchFamily="34" charset="0"/>
            </a:rPr>
            <a:t>Spending</a:t>
          </a:r>
        </a:p>
      </cdr:txBody>
    </cdr:sp>
  </cdr:relSizeAnchor>
</c:userShapes>
</file>

<file path=xl/theme/theme1.xml><?xml version="1.0" encoding="utf-8"?>
<a:theme xmlns:a="http://schemas.openxmlformats.org/drawingml/2006/main" name="Office Theme">
  <a:themeElements>
    <a:clrScheme name="Ifac">
      <a:dk1>
        <a:sysClr val="windowText" lastClr="000000"/>
      </a:dk1>
      <a:lt1>
        <a:sysClr val="window" lastClr="FFFFFF"/>
      </a:lt1>
      <a:dk2>
        <a:srgbClr val="1F497D"/>
      </a:dk2>
      <a:lt2>
        <a:srgbClr val="0A3D50"/>
      </a:lt2>
      <a:accent1>
        <a:srgbClr val="4F81BD"/>
      </a:accent1>
      <a:accent2>
        <a:srgbClr val="63DFEB"/>
      </a:accent2>
      <a:accent3>
        <a:srgbClr val="4F093C"/>
      </a:accent3>
      <a:accent4>
        <a:srgbClr val="48AC98"/>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ata.oireachtas.ie/ie/oireachtas/parliamentaryBudgetOffice/2020/2020-09-30_pre-budget-2021-ready-reckoner_en.pdf" TargetMode="External"/><Relationship Id="rId2" Type="http://schemas.openxmlformats.org/officeDocument/2006/relationships/hyperlink" Target="https://assets.gov.ie/19119/9108379187f34d0e8069157c28ad405c.pdf" TargetMode="External"/><Relationship Id="rId1" Type="http://schemas.openxmlformats.org/officeDocument/2006/relationships/hyperlink" Target="https://www.revenue.ie/en/corporate/documents/statistics/ready-reckoner.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661"/>
  <sheetViews>
    <sheetView showGridLines="0" tabSelected="1" zoomScaleNormal="100" workbookViewId="0">
      <pane ySplit="8" topLeftCell="A9" activePane="bottomLeft" state="frozen"/>
      <selection pane="bottomLeft"/>
    </sheetView>
  </sheetViews>
  <sheetFormatPr defaultColWidth="8.7109375" defaultRowHeight="16.5" x14ac:dyDescent="0.3"/>
  <cols>
    <col min="1" max="1" width="3.5703125" style="2" customWidth="1"/>
    <col min="2" max="2" width="6.5703125" style="3" customWidth="1"/>
    <col min="3" max="3" width="61.28515625" style="3" customWidth="1"/>
    <col min="4" max="9" width="9.42578125" style="3" customWidth="1"/>
    <col min="10" max="10" width="5.7109375" style="3" customWidth="1"/>
    <col min="11" max="11" width="9.28515625" style="3" customWidth="1"/>
    <col min="12" max="12" width="10.42578125" style="2" customWidth="1"/>
    <col min="13" max="14" width="8.7109375" style="2"/>
    <col min="15" max="15" width="14.5703125" style="2" bestFit="1" customWidth="1"/>
    <col min="16" max="16" width="8.7109375" style="2"/>
    <col min="17" max="17" width="14.5703125" style="2" bestFit="1" customWidth="1"/>
    <col min="18" max="53" width="8.7109375" style="2"/>
    <col min="54" max="16384" width="8.7109375" style="3"/>
  </cols>
  <sheetData>
    <row r="1" spans="3:22" s="2" customFormat="1" ht="7.5" customHeight="1" x14ac:dyDescent="0.3"/>
    <row r="2" spans="3:22" ht="12" customHeight="1" x14ac:dyDescent="0.3">
      <c r="F2" s="8"/>
      <c r="G2" s="8"/>
      <c r="H2" s="8"/>
      <c r="I2" s="8"/>
    </row>
    <row r="3" spans="3:22" x14ac:dyDescent="0.3">
      <c r="F3" s="13"/>
      <c r="G3" s="13"/>
      <c r="H3" s="13"/>
      <c r="I3" s="13"/>
    </row>
    <row r="4" spans="3:22" x14ac:dyDescent="0.3">
      <c r="F4" s="62"/>
      <c r="H4" s="63" t="s">
        <v>0</v>
      </c>
      <c r="I4" s="64">
        <f>SUM(F74:I74)</f>
        <v>1249.209896035667</v>
      </c>
      <c r="J4" s="62" t="s">
        <v>1</v>
      </c>
      <c r="R4" s="59"/>
      <c r="S4" s="59"/>
      <c r="T4" s="59"/>
      <c r="U4" s="59" t="s">
        <v>2</v>
      </c>
      <c r="V4" s="59"/>
    </row>
    <row r="5" spans="3:22" x14ac:dyDescent="0.3">
      <c r="F5" s="62"/>
      <c r="H5" s="63" t="s">
        <v>3</v>
      </c>
      <c r="I5" s="65">
        <f>I78</f>
        <v>-2.844731832187025</v>
      </c>
      <c r="J5" s="62" t="s">
        <v>4</v>
      </c>
      <c r="R5" s="59" t="s">
        <v>5</v>
      </c>
      <c r="S5" s="59"/>
      <c r="T5" s="59"/>
      <c r="U5" s="60">
        <f>SUM(F71:I71)</f>
        <v>18339.209896035667</v>
      </c>
      <c r="V5" s="59"/>
    </row>
    <row r="6" spans="3:22" x14ac:dyDescent="0.3">
      <c r="R6" s="59" t="s">
        <v>6</v>
      </c>
      <c r="S6" s="59"/>
      <c r="T6" s="59"/>
      <c r="U6" s="60">
        <f>SUM(F72:I72)</f>
        <v>-17090</v>
      </c>
      <c r="V6" s="59"/>
    </row>
    <row r="7" spans="3:22" x14ac:dyDescent="0.3">
      <c r="R7" s="59" t="s">
        <v>7</v>
      </c>
      <c r="S7" s="59"/>
      <c r="T7" s="59"/>
      <c r="U7" s="60">
        <f>SUM(F74:I74)</f>
        <v>1249.209896035667</v>
      </c>
      <c r="V7" s="59"/>
    </row>
    <row r="8" spans="3:22" ht="21" customHeight="1" x14ac:dyDescent="0.3">
      <c r="D8" s="3">
        <v>2020</v>
      </c>
      <c r="E8" s="3">
        <f>D8+1</f>
        <v>2021</v>
      </c>
      <c r="F8" s="3">
        <f>E8+1</f>
        <v>2022</v>
      </c>
      <c r="G8" s="3">
        <f>F8+1</f>
        <v>2023</v>
      </c>
      <c r="H8" s="3">
        <f>G8+1</f>
        <v>2024</v>
      </c>
      <c r="I8" s="3">
        <f>H8+1</f>
        <v>2025</v>
      </c>
      <c r="L8" s="14"/>
      <c r="R8" s="59"/>
      <c r="S8" s="59"/>
      <c r="T8" s="59"/>
      <c r="U8" s="59"/>
      <c r="V8" s="59"/>
    </row>
    <row r="10" spans="3:22" ht="24.75" x14ac:dyDescent="0.45">
      <c r="C10" s="44" t="s">
        <v>8</v>
      </c>
    </row>
    <row r="12" spans="3:22" x14ac:dyDescent="0.3">
      <c r="C12" s="3" t="s">
        <v>9</v>
      </c>
    </row>
    <row r="17" spans="1:53" x14ac:dyDescent="0.3">
      <c r="E17" s="47" t="s">
        <v>10</v>
      </c>
      <c r="H17" s="47" t="s">
        <v>11</v>
      </c>
    </row>
    <row r="18" spans="1:53" ht="24.75" x14ac:dyDescent="0.45">
      <c r="C18" s="44" t="s">
        <v>12</v>
      </c>
    </row>
    <row r="20" spans="1:53" x14ac:dyDescent="0.3">
      <c r="C20" s="3" t="s">
        <v>13</v>
      </c>
    </row>
    <row r="22" spans="1:53" x14ac:dyDescent="0.3">
      <c r="C22" s="3" t="s">
        <v>14</v>
      </c>
      <c r="D22" s="5">
        <f t="shared" ref="D22:I25" si="0">HLOOKUP(D$8,Controls,MATCH($C22,$C$273:$C$329,0)+MATCH($C$20,$C$276:$C$277,0),FALSE)</f>
        <v>-4.1599015930529841</v>
      </c>
      <c r="E22" s="5">
        <f t="shared" si="0"/>
        <v>2.4506312366287197</v>
      </c>
      <c r="F22" s="5">
        <f t="shared" si="0"/>
        <v>5.5040353130472841</v>
      </c>
      <c r="G22" s="5">
        <f t="shared" si="0"/>
        <v>2.9572506693778422</v>
      </c>
      <c r="H22" s="5">
        <f t="shared" si="0"/>
        <v>2.6976615956099126</v>
      </c>
      <c r="I22" s="5">
        <f t="shared" si="0"/>
        <v>2.702282977776771</v>
      </c>
      <c r="J22" s="5"/>
    </row>
    <row r="23" spans="1:53" x14ac:dyDescent="0.3">
      <c r="C23" s="3" t="s">
        <v>15</v>
      </c>
      <c r="D23" s="5">
        <f t="shared" si="0"/>
        <v>-3.2973407073904726</v>
      </c>
      <c r="E23" s="5">
        <f t="shared" si="0"/>
        <v>3.5775881802316167</v>
      </c>
      <c r="F23" s="5">
        <f t="shared" si="0"/>
        <v>7.5613640016517047</v>
      </c>
      <c r="G23" s="5">
        <f t="shared" si="0"/>
        <v>4.5530880547532071</v>
      </c>
      <c r="H23" s="5">
        <f t="shared" si="0"/>
        <v>4.4948706735330912</v>
      </c>
      <c r="I23" s="5">
        <f t="shared" si="0"/>
        <v>4.3968706469100782</v>
      </c>
      <c r="J23" s="5"/>
    </row>
    <row r="24" spans="1:53" x14ac:dyDescent="0.3">
      <c r="C24" s="3" t="s">
        <v>16</v>
      </c>
      <c r="D24" s="5">
        <f t="shared" si="0"/>
        <v>-0.5</v>
      </c>
      <c r="E24" s="5">
        <f t="shared" si="0"/>
        <v>1.1000000000000001</v>
      </c>
      <c r="F24" s="5">
        <f t="shared" si="0"/>
        <v>1.9</v>
      </c>
      <c r="G24" s="5">
        <f t="shared" si="0"/>
        <v>1.5</v>
      </c>
      <c r="H24" s="5">
        <f t="shared" si="0"/>
        <v>1.6</v>
      </c>
      <c r="I24" s="5">
        <f t="shared" si="0"/>
        <v>1.9</v>
      </c>
      <c r="J24" s="5"/>
    </row>
    <row r="25" spans="1:53" x14ac:dyDescent="0.3">
      <c r="C25" s="3" t="s">
        <v>17</v>
      </c>
      <c r="D25" s="5">
        <f t="shared" si="0"/>
        <v>-9.6410083199021682E-2</v>
      </c>
      <c r="E25" s="5">
        <f t="shared" si="0"/>
        <v>4.1185452709110937</v>
      </c>
      <c r="F25" s="5">
        <f t="shared" si="0"/>
        <v>3.9517251655192238</v>
      </c>
      <c r="G25" s="5">
        <f t="shared" si="0"/>
        <v>5.4397437523354339</v>
      </c>
      <c r="H25" s="5">
        <f t="shared" si="0"/>
        <v>5.4829769316050934</v>
      </c>
      <c r="I25" s="5">
        <f t="shared" si="0"/>
        <v>5.5538453226234967</v>
      </c>
    </row>
    <row r="29" spans="1:53" s="7" customFormat="1" ht="25.5" x14ac:dyDescent="0.5">
      <c r="A29" s="6"/>
      <c r="B29" s="3"/>
      <c r="C29" s="44" t="s">
        <v>18</v>
      </c>
      <c r="D29" s="3"/>
      <c r="E29" s="3"/>
      <c r="F29" s="3"/>
      <c r="G29" s="3"/>
      <c r="H29" s="3"/>
      <c r="I29" s="3"/>
      <c r="J29" s="3"/>
      <c r="K29" s="3"/>
      <c r="L29" s="2"/>
      <c r="M29" s="6"/>
      <c r="N29" s="2"/>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row>
    <row r="30" spans="1:53" x14ac:dyDescent="0.3">
      <c r="D30" s="8"/>
      <c r="E30" s="8"/>
      <c r="F30" s="8"/>
      <c r="G30" s="8"/>
      <c r="H30" s="8"/>
      <c r="I30" s="8"/>
      <c r="J30" s="8"/>
      <c r="K30" s="8"/>
      <c r="L30" s="15"/>
    </row>
    <row r="31" spans="1:53" x14ac:dyDescent="0.3">
      <c r="C31" s="3" t="s">
        <v>19</v>
      </c>
      <c r="D31" s="8"/>
      <c r="E31" s="9"/>
      <c r="K31" s="8"/>
      <c r="L31" s="15"/>
    </row>
    <row r="32" spans="1:53" x14ac:dyDescent="0.3">
      <c r="C32" s="4" t="s">
        <v>20</v>
      </c>
      <c r="E32" s="8"/>
      <c r="F32" s="8">
        <f>IF($C32="",0,HLOOKUP(F$8,Controls,MATCH($C31,ControlsVariable,0)+MATCH($C32,$C$305:$C$306,0),FALSE))</f>
        <v>247</v>
      </c>
      <c r="G32" s="8">
        <f>IF($C32="",0,HLOOKUP(G$8,Controls,MATCH($C31,ControlsVariable,0)+MATCH($C32,$C$305:$C$306,0),FALSE))</f>
        <v>282</v>
      </c>
      <c r="H32" s="8">
        <f>IF($C32="",0,HLOOKUP(H$8,Controls,MATCH($C31,ControlsVariable,0)+MATCH($C32,$C$305:$C$306,0),FALSE))</f>
        <v>307</v>
      </c>
      <c r="I32" s="8">
        <f>IF($C32="",0,HLOOKUP(I$8,Controls,MATCH($C31,ControlsVariable,0)+MATCH($C32,$C$305:$C$306,0),FALSE))</f>
        <v>315</v>
      </c>
      <c r="J32" s="8"/>
      <c r="K32" s="8"/>
      <c r="L32" s="15"/>
    </row>
    <row r="33" spans="3:12" x14ac:dyDescent="0.3">
      <c r="C33" s="10" t="str">
        <f>IF(C32="No, I wish to keep them constant in cash terms, or decrease them","Note, this means that you are going to cut benefits in relative terms. That is, they do not keep pace with general wage changes","")</f>
        <v/>
      </c>
      <c r="E33" s="9"/>
      <c r="F33" s="9"/>
      <c r="G33" s="9"/>
      <c r="H33" s="9"/>
      <c r="I33" s="9"/>
      <c r="J33" s="9"/>
      <c r="K33" s="8"/>
      <c r="L33" s="15"/>
    </row>
    <row r="34" spans="3:12" x14ac:dyDescent="0.3">
      <c r="K34" s="8"/>
      <c r="L34" s="15"/>
    </row>
    <row r="35" spans="3:12" x14ac:dyDescent="0.3">
      <c r="C35" s="3" t="s">
        <v>21</v>
      </c>
      <c r="D35" s="8"/>
      <c r="K35" s="8"/>
      <c r="L35" s="15"/>
    </row>
    <row r="36" spans="3:12" x14ac:dyDescent="0.3">
      <c r="C36" s="4" t="s">
        <v>20</v>
      </c>
      <c r="E36" s="8"/>
      <c r="F36" s="8">
        <f>IF($C36="",0,HLOOKUP(F$8,Controls,MATCH($C35,ControlsVariable,0)+MATCH($C36,$C$305:$C$306,0),FALSE))</f>
        <v>601</v>
      </c>
      <c r="G36" s="8">
        <f>IF($C36="",0,HLOOKUP(G$8,Controls,MATCH($C35,ControlsVariable,0)+MATCH($C36,$C$305:$C$306,0),FALSE))</f>
        <v>711</v>
      </c>
      <c r="H36" s="8">
        <f>IF($C36="",0,HLOOKUP(H$8,Controls,MATCH($C35,ControlsVariable,0)+MATCH($C36,$C$305:$C$306,0),FALSE))</f>
        <v>817</v>
      </c>
      <c r="I36" s="8">
        <f>IF($C36="",0,HLOOKUP(I$8,Controls,MATCH($C35,ControlsVariable,0)+MATCH($C36,$C$305:$C$306,0),FALSE))</f>
        <v>850</v>
      </c>
      <c r="J36" s="8"/>
      <c r="K36" s="8"/>
      <c r="L36" s="15"/>
    </row>
    <row r="37" spans="3:12" x14ac:dyDescent="0.3">
      <c r="C37" s="10" t="str">
        <f>IF(C36="No, I wish to keep them constant in cash terms, or decrease them","Note, this means that you are going to cut pensions in relative terms. That is, they do not keep pace with general wage changes","")</f>
        <v/>
      </c>
      <c r="E37" s="9"/>
      <c r="F37" s="9"/>
      <c r="G37" s="9"/>
      <c r="H37" s="9"/>
      <c r="I37" s="9"/>
      <c r="J37" s="9"/>
      <c r="K37" s="8"/>
      <c r="L37" s="15"/>
    </row>
    <row r="38" spans="3:12" x14ac:dyDescent="0.3">
      <c r="D38" s="8"/>
      <c r="E38" s="8"/>
      <c r="F38" s="8"/>
      <c r="G38" s="8"/>
      <c r="H38" s="8"/>
      <c r="I38" s="8"/>
      <c r="J38" s="8"/>
      <c r="K38" s="8"/>
      <c r="L38" s="15"/>
    </row>
    <row r="39" spans="3:12" x14ac:dyDescent="0.3">
      <c r="C39" s="3" t="s">
        <v>142</v>
      </c>
      <c r="D39" s="8"/>
      <c r="E39" s="11"/>
      <c r="F39" s="11"/>
      <c r="G39" s="11"/>
      <c r="H39" s="11"/>
      <c r="I39" s="11"/>
      <c r="J39" s="11"/>
      <c r="K39" s="8"/>
      <c r="L39" s="15"/>
    </row>
    <row r="40" spans="3:12" x14ac:dyDescent="0.3">
      <c r="C40" s="4" t="s">
        <v>20</v>
      </c>
      <c r="D40" s="11"/>
      <c r="E40" s="8"/>
      <c r="F40" s="8">
        <f>IF($C40="",0,HLOOKUP(F$8,Controls,MATCH($C39,ControlsVariable,0)+MATCH($C40,$C$305:$C$306,0),FALSE))</f>
        <v>793</v>
      </c>
      <c r="G40" s="8">
        <f>IF($C40="",0,HLOOKUP(G$8,Controls,MATCH($C39,ControlsVariable,0)+MATCH($C40,$C$305:$C$306,0),FALSE))</f>
        <v>886</v>
      </c>
      <c r="H40" s="8">
        <f>IF($C40="",0,HLOOKUP(H$8,Controls,MATCH($C39,ControlsVariable,0)+MATCH($C40,$C$305:$C$306,0),FALSE))</f>
        <v>959</v>
      </c>
      <c r="I40" s="8">
        <f>IF($C40="",0,HLOOKUP(I$8,Controls,MATCH($C39,ControlsVariable,0)+MATCH($C40,$C$305:$C$306,0),FALSE))</f>
        <v>966</v>
      </c>
      <c r="J40" s="8"/>
      <c r="K40" s="8"/>
      <c r="L40" s="15"/>
    </row>
    <row r="41" spans="3:12" x14ac:dyDescent="0.3">
      <c r="C41" s="10" t="str">
        <f>IF(C40="No, I wish to keep them constant in cash terms, or decrease them","Note, this means that you are going to cut pay in relative terms. That is, they do not keep pace with general wage changes","")</f>
        <v/>
      </c>
      <c r="D41" s="11"/>
      <c r="E41" s="9"/>
      <c r="F41" s="9"/>
      <c r="G41" s="9"/>
      <c r="H41" s="9"/>
      <c r="I41" s="9"/>
      <c r="J41" s="9"/>
      <c r="K41" s="8"/>
      <c r="L41" s="15"/>
    </row>
    <row r="42" spans="3:12" x14ac:dyDescent="0.3">
      <c r="D42" s="11"/>
      <c r="E42" s="11"/>
      <c r="F42" s="11"/>
      <c r="G42" s="11"/>
      <c r="H42" s="11"/>
      <c r="I42" s="11"/>
      <c r="J42" s="11"/>
      <c r="K42" s="8"/>
      <c r="L42" s="15"/>
    </row>
    <row r="43" spans="3:12" x14ac:dyDescent="0.3">
      <c r="C43" s="3" t="s">
        <v>22</v>
      </c>
      <c r="D43" s="8"/>
      <c r="K43" s="8"/>
      <c r="L43" s="15"/>
    </row>
    <row r="44" spans="3:12" x14ac:dyDescent="0.3">
      <c r="C44" s="4" t="s">
        <v>23</v>
      </c>
      <c r="D44" s="8"/>
      <c r="E44" s="8"/>
      <c r="F44" s="8">
        <f>IF($C44="",0,HLOOKUP(F$8,Controls,MATCH($C43,ControlsVariable,0)+MATCH($C44,$C$317:$C$318,0),FALSE))</f>
        <v>0</v>
      </c>
      <c r="G44" s="8">
        <f>IF($C44="",0,HLOOKUP(G$8,Controls,MATCH($C43,ControlsVariable,0)+MATCH($C44,$C$317:$C$318,0),FALSE))</f>
        <v>0</v>
      </c>
      <c r="H44" s="8">
        <f>IF($C44="",0,HLOOKUP(H$8,Controls,MATCH($C43,ControlsVariable,0)+MATCH($C44,$C$317:$C$318,0),FALSE))</f>
        <v>0</v>
      </c>
      <c r="I44" s="8">
        <f>IF($C44="",0,HLOOKUP(I$8,Controls,MATCH($C43,ControlsVariable,0)+MATCH($C44,$C$317:$C$318,0),FALSE))</f>
        <v>0</v>
      </c>
      <c r="J44" s="8"/>
      <c r="K44" s="8"/>
      <c r="L44" s="15"/>
    </row>
    <row r="45" spans="3:12" x14ac:dyDescent="0.3">
      <c r="C45" s="10" t="str">
        <f>IF(C44="No, I don't want bands to rise if wages rise","Note, this means you are going to raise taxes in real terms. By not keeping pace with wage changes, people will drift into higher tax bands","")</f>
        <v/>
      </c>
      <c r="D45" s="8"/>
      <c r="E45" s="9"/>
      <c r="F45" s="9"/>
      <c r="G45" s="9"/>
      <c r="H45" s="9"/>
      <c r="I45" s="9"/>
      <c r="J45" s="9"/>
      <c r="K45" s="8"/>
      <c r="L45" s="15"/>
    </row>
    <row r="46" spans="3:12" x14ac:dyDescent="0.3">
      <c r="K46" s="8"/>
      <c r="L46" s="15"/>
    </row>
    <row r="47" spans="3:12" x14ac:dyDescent="0.3">
      <c r="C47" s="3" t="s">
        <v>24</v>
      </c>
      <c r="D47" s="8"/>
      <c r="K47" s="8"/>
      <c r="L47" s="15"/>
    </row>
    <row r="48" spans="3:12" x14ac:dyDescent="0.3">
      <c r="C48" s="4" t="s">
        <v>135</v>
      </c>
      <c r="D48" s="8"/>
      <c r="E48" s="8"/>
      <c r="F48" s="8">
        <f>IF($C48="",0,HLOOKUP(F$8,Controls,MATCH($C47,ControlsVariable,0)+MATCH($C48,$C$321:$C$322,0),FALSE))</f>
        <v>0</v>
      </c>
      <c r="G48" s="8">
        <f>IF($C48="",0,HLOOKUP(G$8,Controls,MATCH($C47,ControlsVariable,0)+MATCH($C48,$C$321:$C$322,0),FALSE))</f>
        <v>0</v>
      </c>
      <c r="H48" s="8">
        <f>IF($C48="",0,HLOOKUP(H$8,Controls,MATCH($C47,ControlsVariable,0)+MATCH($C48,$C$321:$C$322,0),FALSE))</f>
        <v>0</v>
      </c>
      <c r="I48" s="8">
        <f>IF($C48="",0,HLOOKUP(I$8,Controls,MATCH($C47,ControlsVariable,0)+MATCH($C48,$C$321:$C$322,0),FALSE))</f>
        <v>0</v>
      </c>
      <c r="J48" s="8"/>
      <c r="K48" s="8"/>
      <c r="L48" s="15"/>
    </row>
    <row r="49" spans="3:12" x14ac:dyDescent="0.3">
      <c r="C49" s="10" t="str">
        <f>IF(C48="No, I don't want to increase the pension age","Note, this means you are going to leave the pension age at 66 rather than increase to 67 and 68 as previously planned","")</f>
        <v>Note, this means you are going to leave the pension age at 66 rather than increase to 67 and 68 as previously planned</v>
      </c>
      <c r="D49" s="8"/>
      <c r="E49" s="9"/>
      <c r="F49" s="9"/>
      <c r="G49" s="9"/>
      <c r="H49" s="9"/>
      <c r="I49" s="9"/>
      <c r="J49" s="9"/>
      <c r="K49" s="8"/>
      <c r="L49" s="15"/>
    </row>
    <row r="50" spans="3:12" x14ac:dyDescent="0.3">
      <c r="K50" s="8"/>
      <c r="L50" s="15"/>
    </row>
    <row r="51" spans="3:12" x14ac:dyDescent="0.3">
      <c r="C51" s="3" t="s">
        <v>26</v>
      </c>
      <c r="D51" s="8"/>
      <c r="E51" s="8"/>
      <c r="F51" s="8">
        <v>468</v>
      </c>
      <c r="G51" s="8">
        <v>479</v>
      </c>
      <c r="H51" s="8">
        <v>481</v>
      </c>
      <c r="I51" s="8">
        <v>523</v>
      </c>
      <c r="J51" s="8"/>
      <c r="K51" s="8"/>
      <c r="L51" s="15"/>
    </row>
    <row r="52" spans="3:12" x14ac:dyDescent="0.3">
      <c r="C52" s="10" t="s">
        <v>27</v>
      </c>
    </row>
    <row r="55" spans="3:12" ht="24.75" x14ac:dyDescent="0.45">
      <c r="C55" s="44" t="s">
        <v>28</v>
      </c>
    </row>
    <row r="56" spans="3:12" x14ac:dyDescent="0.3">
      <c r="C56" s="26"/>
    </row>
    <row r="57" spans="3:12" x14ac:dyDescent="0.3">
      <c r="C57" s="3" t="s">
        <v>140</v>
      </c>
    </row>
    <row r="58" spans="3:12" x14ac:dyDescent="0.3">
      <c r="C58" s="55" t="s">
        <v>29</v>
      </c>
    </row>
    <row r="59" spans="3:12" x14ac:dyDescent="0.3">
      <c r="C59" s="29"/>
    </row>
    <row r="60" spans="3:12" x14ac:dyDescent="0.3">
      <c r="C60" s="3" t="s">
        <v>30</v>
      </c>
      <c r="F60" s="4">
        <v>0</v>
      </c>
      <c r="G60" s="4">
        <v>0</v>
      </c>
      <c r="H60" s="4">
        <v>0</v>
      </c>
      <c r="I60" s="4">
        <v>0</v>
      </c>
      <c r="J60" s="32"/>
    </row>
    <row r="61" spans="3:12" x14ac:dyDescent="0.3">
      <c r="C61" s="3" t="s">
        <v>31</v>
      </c>
      <c r="F61" s="4">
        <v>0</v>
      </c>
      <c r="G61" s="4">
        <v>0</v>
      </c>
      <c r="H61" s="4">
        <v>0</v>
      </c>
      <c r="I61" s="4">
        <v>0</v>
      </c>
      <c r="J61" s="32"/>
    </row>
    <row r="62" spans="3:12" x14ac:dyDescent="0.3">
      <c r="C62" s="3" t="s">
        <v>32</v>
      </c>
      <c r="F62" s="4">
        <v>0</v>
      </c>
      <c r="G62" s="4">
        <v>0</v>
      </c>
      <c r="H62" s="4">
        <v>0</v>
      </c>
      <c r="I62" s="4">
        <v>0</v>
      </c>
      <c r="J62" s="32"/>
    </row>
    <row r="64" spans="3:12" x14ac:dyDescent="0.3">
      <c r="C64" s="3" t="s">
        <v>33</v>
      </c>
      <c r="F64" s="4">
        <v>0</v>
      </c>
      <c r="G64" s="4">
        <v>0</v>
      </c>
      <c r="H64" s="4">
        <v>0</v>
      </c>
      <c r="I64" s="4">
        <v>0</v>
      </c>
      <c r="J64" s="33"/>
    </row>
    <row r="65" spans="1:53" x14ac:dyDescent="0.3">
      <c r="C65" s="3" t="s">
        <v>34</v>
      </c>
      <c r="F65" s="3">
        <f>F64</f>
        <v>0</v>
      </c>
      <c r="G65" s="3">
        <f>F65+SUM($F64:G64)</f>
        <v>0</v>
      </c>
      <c r="H65" s="3">
        <f>G65+SUM($F64:H64)</f>
        <v>0</v>
      </c>
      <c r="I65" s="3">
        <f>H65+SUM($F64:I64)</f>
        <v>0</v>
      </c>
    </row>
    <row r="66" spans="1:53" x14ac:dyDescent="0.3">
      <c r="I66" s="61"/>
    </row>
    <row r="68" spans="1:53" s="7" customFormat="1" ht="25.5" x14ac:dyDescent="0.5">
      <c r="A68" s="6"/>
      <c r="B68" s="3"/>
      <c r="C68" s="44" t="s">
        <v>35</v>
      </c>
      <c r="D68" s="3"/>
      <c r="E68" s="3"/>
      <c r="F68" s="3"/>
      <c r="G68" s="3"/>
      <c r="H68" s="3"/>
      <c r="I68" s="3"/>
      <c r="J68" s="3"/>
      <c r="K68" s="3"/>
      <c r="L68" s="2"/>
      <c r="M68" s="6"/>
      <c r="N68" s="6"/>
      <c r="O68" s="6"/>
      <c r="P68" s="12"/>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row>
    <row r="69" spans="1:53" x14ac:dyDescent="0.3">
      <c r="E69" s="25" t="str">
        <f>IF(OR(F68&lt;-100,SUM(F68:G68)&lt;-100,SUM(F68:H68)&lt;-100,SUM(F68:I68)&lt;-100),"You have used up your fiscal space","")</f>
        <v/>
      </c>
      <c r="G69" s="8"/>
      <c r="H69" s="8"/>
      <c r="I69" s="8"/>
      <c r="J69" s="8"/>
      <c r="K69" s="8"/>
      <c r="L69" s="15"/>
      <c r="M69" s="12"/>
      <c r="N69" s="12"/>
    </row>
    <row r="70" spans="1:53" x14ac:dyDescent="0.3">
      <c r="E70" s="8"/>
      <c r="F70" s="25"/>
      <c r="G70" s="8"/>
      <c r="H70" s="8"/>
      <c r="I70" s="8"/>
      <c r="J70" s="8"/>
      <c r="K70" s="8"/>
      <c r="L70" s="15"/>
      <c r="M70" s="12"/>
      <c r="N70" s="12"/>
    </row>
    <row r="71" spans="1:53" x14ac:dyDescent="0.3">
      <c r="C71" s="56" t="s">
        <v>36</v>
      </c>
      <c r="D71" s="57"/>
      <c r="E71" s="57"/>
      <c r="F71" s="57">
        <f>F249</f>
        <v>4430.3144554092432</v>
      </c>
      <c r="G71" s="57">
        <f>G249</f>
        <v>4263.4476043516042</v>
      </c>
      <c r="H71" s="57">
        <f>H249</f>
        <v>4558.2320336549456</v>
      </c>
      <c r="I71" s="57">
        <f>I249</f>
        <v>5087.215802619874</v>
      </c>
      <c r="J71" s="8"/>
      <c r="K71" s="8"/>
      <c r="L71" s="15"/>
      <c r="M71" s="12"/>
      <c r="N71" s="12"/>
    </row>
    <row r="72" spans="1:53" x14ac:dyDescent="0.3">
      <c r="C72" s="3" t="s">
        <v>37</v>
      </c>
      <c r="D72" s="8"/>
      <c r="E72" s="8"/>
      <c r="F72" s="8">
        <f>-F251</f>
        <v>-4219</v>
      </c>
      <c r="G72" s="8">
        <f>-G251</f>
        <v>-4328</v>
      </c>
      <c r="H72" s="8">
        <f>-H251</f>
        <v>-4459</v>
      </c>
      <c r="I72" s="8">
        <f>-I251</f>
        <v>-4084</v>
      </c>
      <c r="J72" s="8"/>
      <c r="K72" s="8"/>
      <c r="L72" s="15"/>
      <c r="M72" s="12"/>
      <c r="N72" s="12"/>
    </row>
    <row r="73" spans="1:53" x14ac:dyDescent="0.3">
      <c r="C73" s="3" t="s">
        <v>38</v>
      </c>
      <c r="D73" s="8"/>
      <c r="E73" s="8"/>
      <c r="F73" s="8">
        <f>-SUM(F261:F262,-F268,F259)</f>
        <v>0</v>
      </c>
      <c r="G73" s="8">
        <f>-SUM(G261:G262,-G268,G259)</f>
        <v>0</v>
      </c>
      <c r="H73" s="8">
        <f>-SUM(H261:H262,-H268,H259)</f>
        <v>0</v>
      </c>
      <c r="I73" s="8">
        <f>-SUM(I261:I262,-I268,I259)</f>
        <v>0</v>
      </c>
      <c r="J73" s="8"/>
      <c r="K73" s="8"/>
      <c r="L73" s="15"/>
      <c r="M73" s="12"/>
      <c r="N73" s="12"/>
    </row>
    <row r="74" spans="1:53" x14ac:dyDescent="0.3">
      <c r="C74" s="56" t="s">
        <v>39</v>
      </c>
      <c r="D74" s="57"/>
      <c r="E74" s="57"/>
      <c r="F74" s="58">
        <f>SUM(F71:F73)</f>
        <v>211.31445540924324</v>
      </c>
      <c r="G74" s="58">
        <f>SUM(G71:G73)</f>
        <v>-64.552395648395759</v>
      </c>
      <c r="H74" s="58">
        <f>SUM(H71:H73)</f>
        <v>99.232033654945553</v>
      </c>
      <c r="I74" s="58">
        <f>SUM(I71:I73)</f>
        <v>1003.215802619874</v>
      </c>
      <c r="J74" s="8"/>
      <c r="K74" s="8"/>
      <c r="L74" s="15"/>
      <c r="M74" s="12"/>
      <c r="N74" s="12"/>
    </row>
    <row r="75" spans="1:53" x14ac:dyDescent="0.3">
      <c r="D75" s="25" t="str">
        <f>IF(AND(SUM(F74:I74)&gt;0,OR(F83&gt;F$325+F$329,G83&gt;G$325+G$329,H83&gt;H$325+H$329,I83&gt;I$325+I$329)),"You have fiscal space but the debt ratio does not meet its targeted reduction","")</f>
        <v>You have fiscal space but the debt ratio does not meet its targeted reduction</v>
      </c>
      <c r="E75" s="25"/>
      <c r="G75" s="8"/>
      <c r="H75" s="8"/>
      <c r="I75" s="8"/>
      <c r="J75" s="8"/>
      <c r="K75" s="8"/>
      <c r="L75" s="15"/>
      <c r="M75" s="12"/>
      <c r="N75" s="12"/>
    </row>
    <row r="76" spans="1:53" x14ac:dyDescent="0.3">
      <c r="E76" s="8"/>
      <c r="F76" s="25"/>
      <c r="G76" s="8"/>
      <c r="H76" s="8"/>
      <c r="I76" s="8"/>
      <c r="J76" s="8"/>
      <c r="K76" s="8"/>
      <c r="L76" s="15"/>
      <c r="M76" s="12"/>
      <c r="N76" s="12"/>
    </row>
    <row r="77" spans="1:53" x14ac:dyDescent="0.3">
      <c r="C77" s="54" t="s">
        <v>40</v>
      </c>
      <c r="D77" s="8">
        <f t="shared" ref="D77:I77" si="1">D126-D141-D133</f>
        <v>-18416</v>
      </c>
      <c r="E77" s="8">
        <f t="shared" si="1"/>
        <v>-18060</v>
      </c>
      <c r="F77" s="8">
        <f t="shared" si="1"/>
        <v>-12824.729148365441</v>
      </c>
      <c r="G77" s="8">
        <f t="shared" si="1"/>
        <v>-8034.1673681354587</v>
      </c>
      <c r="H77" s="8">
        <f t="shared" si="1"/>
        <v>-7687.5959656187479</v>
      </c>
      <c r="I77" s="8">
        <f t="shared" si="1"/>
        <v>-7414.8582611059683</v>
      </c>
      <c r="J77" s="8"/>
      <c r="K77" s="8"/>
      <c r="L77" s="15"/>
      <c r="M77" s="12"/>
      <c r="N77" s="12"/>
    </row>
    <row r="78" spans="1:53" x14ac:dyDescent="0.3">
      <c r="C78" s="3" t="s">
        <v>41</v>
      </c>
      <c r="D78" s="13">
        <f t="shared" ref="D78:I78" si="2">D77/D$153%</f>
        <v>-9.0797485517071372</v>
      </c>
      <c r="E78" s="13">
        <f t="shared" si="2"/>
        <v>-8.5966741831034508</v>
      </c>
      <c r="F78" s="13">
        <f t="shared" si="2"/>
        <v>-5.6496273313096683</v>
      </c>
      <c r="G78" s="13">
        <f t="shared" si="2"/>
        <v>-3.3724874774189266</v>
      </c>
      <c r="H78" s="13">
        <f t="shared" si="2"/>
        <v>-3.0809870393532992</v>
      </c>
      <c r="I78" s="13">
        <f t="shared" si="2"/>
        <v>-2.844731832187025</v>
      </c>
      <c r="J78" s="13"/>
      <c r="K78" s="8"/>
      <c r="L78" s="15"/>
      <c r="M78" s="12"/>
      <c r="N78" s="12"/>
    </row>
    <row r="79" spans="1:53" x14ac:dyDescent="0.3">
      <c r="C79" s="43"/>
      <c r="D79" s="8"/>
      <c r="E79" s="8"/>
      <c r="F79" s="8"/>
      <c r="G79" s="8"/>
      <c r="H79" s="8"/>
      <c r="I79" s="8"/>
      <c r="J79" s="8"/>
      <c r="K79" s="8"/>
      <c r="L79" s="15"/>
      <c r="M79" s="12"/>
      <c r="N79" s="12"/>
    </row>
    <row r="80" spans="1:53" x14ac:dyDescent="0.3">
      <c r="C80" s="43"/>
      <c r="D80" s="8"/>
      <c r="E80" s="8"/>
      <c r="F80" s="8"/>
      <c r="G80" s="8"/>
      <c r="H80" s="8"/>
      <c r="I80" s="8"/>
      <c r="J80" s="8"/>
      <c r="K80" s="8"/>
      <c r="L80" s="15"/>
      <c r="M80" s="12"/>
      <c r="N80" s="12"/>
    </row>
    <row r="81" spans="3:14" x14ac:dyDescent="0.3">
      <c r="C81" s="3" t="s">
        <v>42</v>
      </c>
      <c r="D81" s="8">
        <v>187650</v>
      </c>
      <c r="E81" s="8">
        <f>D81-E77</f>
        <v>205710</v>
      </c>
      <c r="F81" s="8">
        <f>E81-F77</f>
        <v>218534.72914836544</v>
      </c>
      <c r="G81" s="8">
        <f>F81-G77</f>
        <v>226568.89651650091</v>
      </c>
      <c r="H81" s="8">
        <f>G81-H77</f>
        <v>234256.49248211965</v>
      </c>
      <c r="I81" s="8">
        <f>H81-I77</f>
        <v>241671.3507432256</v>
      </c>
      <c r="J81" s="8"/>
      <c r="K81" s="8"/>
      <c r="L81" s="15"/>
      <c r="M81" s="12"/>
      <c r="N81" s="12"/>
    </row>
    <row r="82" spans="3:14" x14ac:dyDescent="0.3">
      <c r="C82" s="3" t="s">
        <v>41</v>
      </c>
      <c r="D82" s="13">
        <f t="shared" ref="D82:I82" si="3">D81/D$153%</f>
        <v>92.518180697645761</v>
      </c>
      <c r="E82" s="13">
        <f t="shared" si="3"/>
        <v>97.919260587276355</v>
      </c>
      <c r="F82" s="13">
        <f t="shared" si="3"/>
        <v>96.270241995272116</v>
      </c>
      <c r="G82" s="13">
        <f t="shared" si="3"/>
        <v>95.106403845287815</v>
      </c>
      <c r="H82" s="13">
        <f t="shared" si="3"/>
        <v>93.883864403074654</v>
      </c>
      <c r="I82" s="13">
        <f t="shared" si="3"/>
        <v>92.71791316538885</v>
      </c>
      <c r="J82" s="13"/>
      <c r="K82" s="8"/>
      <c r="L82" s="15"/>
      <c r="M82" s="12"/>
      <c r="N82" s="12"/>
    </row>
    <row r="83" spans="3:14" x14ac:dyDescent="0.3">
      <c r="C83" s="3" t="s">
        <v>43</v>
      </c>
      <c r="D83" s="8"/>
      <c r="E83" s="13">
        <f>E82-D82</f>
        <v>5.4010798896305943</v>
      </c>
      <c r="F83" s="13">
        <f>F82-E82</f>
        <v>-1.6490185920042393</v>
      </c>
      <c r="G83" s="13">
        <f>G82-F82</f>
        <v>-1.1638381499843007</v>
      </c>
      <c r="H83" s="13">
        <f>H82-G82</f>
        <v>-1.2225394422131615</v>
      </c>
      <c r="I83" s="13">
        <f>I82-H82</f>
        <v>-1.1659512376858032</v>
      </c>
      <c r="J83" s="13"/>
      <c r="K83" s="8"/>
      <c r="L83" s="15"/>
      <c r="M83" s="12"/>
      <c r="N83" s="12"/>
    </row>
    <row r="84" spans="3:14" x14ac:dyDescent="0.3">
      <c r="E84" s="25" t="str">
        <f>IF(OR(F83&gt;F$325+F$329,G83&gt;G$325+G$329,H83&gt;H$325+H$329,I83&gt;I$325+I$329),"The debt ratio does not meet its targeted reduction","")</f>
        <v>The debt ratio does not meet its targeted reduction</v>
      </c>
    </row>
    <row r="85" spans="3:14" x14ac:dyDescent="0.3">
      <c r="C85" s="43"/>
      <c r="D85" s="8"/>
      <c r="E85" s="8"/>
      <c r="F85" s="8"/>
      <c r="G85" s="8"/>
      <c r="H85" s="8"/>
      <c r="I85" s="8"/>
      <c r="J85" s="8"/>
      <c r="K85" s="8"/>
      <c r="L85" s="15"/>
      <c r="M85" s="12"/>
      <c r="N85" s="12"/>
    </row>
    <row r="86" spans="3:14" x14ac:dyDescent="0.3">
      <c r="E86" s="8"/>
      <c r="F86" s="25"/>
      <c r="G86" s="8"/>
      <c r="H86" s="8"/>
      <c r="I86" s="8"/>
      <c r="J86" s="8"/>
      <c r="K86" s="8"/>
      <c r="L86" s="15"/>
      <c r="M86" s="12"/>
      <c r="N86" s="12"/>
    </row>
    <row r="87" spans="3:14" x14ac:dyDescent="0.3">
      <c r="E87" s="8"/>
      <c r="F87" s="25"/>
      <c r="G87" s="8"/>
      <c r="H87" s="8"/>
      <c r="I87" s="8"/>
      <c r="J87" s="8"/>
      <c r="K87" s="8"/>
      <c r="L87" s="15"/>
      <c r="M87" s="12"/>
      <c r="N87" s="12"/>
    </row>
    <row r="88" spans="3:14" x14ac:dyDescent="0.3">
      <c r="E88" s="8"/>
      <c r="F88" s="25"/>
      <c r="G88" s="8"/>
      <c r="H88" s="8"/>
      <c r="I88" s="8"/>
      <c r="J88" s="8"/>
      <c r="K88" s="8"/>
      <c r="L88" s="15"/>
      <c r="M88" s="12"/>
      <c r="N88" s="12"/>
    </row>
    <row r="89" spans="3:14" x14ac:dyDescent="0.3">
      <c r="E89" s="8"/>
      <c r="F89" s="25"/>
      <c r="G89" s="8"/>
      <c r="H89" s="8"/>
      <c r="I89" s="8"/>
      <c r="J89" s="8"/>
      <c r="K89" s="8"/>
      <c r="L89" s="15"/>
      <c r="M89" s="12"/>
      <c r="N89" s="12"/>
    </row>
    <row r="90" spans="3:14" x14ac:dyDescent="0.3">
      <c r="E90" s="8"/>
      <c r="F90" s="25"/>
      <c r="G90" s="8"/>
      <c r="H90" s="8"/>
      <c r="I90" s="8"/>
      <c r="J90" s="8"/>
      <c r="K90" s="8"/>
      <c r="L90" s="15"/>
      <c r="M90" s="12"/>
      <c r="N90" s="12"/>
    </row>
    <row r="91" spans="3:14" x14ac:dyDescent="0.3">
      <c r="E91" s="8"/>
      <c r="F91" s="25"/>
      <c r="G91" s="8"/>
      <c r="H91" s="8"/>
      <c r="I91" s="8"/>
      <c r="J91" s="8"/>
      <c r="K91" s="8"/>
      <c r="L91" s="15"/>
      <c r="M91" s="12"/>
      <c r="N91" s="12"/>
    </row>
    <row r="92" spans="3:14" x14ac:dyDescent="0.3">
      <c r="E92" s="8"/>
      <c r="F92" s="25"/>
      <c r="G92" s="8"/>
      <c r="H92" s="8"/>
      <c r="I92" s="8"/>
      <c r="J92" s="8"/>
      <c r="K92" s="8"/>
      <c r="L92" s="15"/>
      <c r="M92" s="12"/>
      <c r="N92" s="12"/>
    </row>
    <row r="93" spans="3:14" x14ac:dyDescent="0.3">
      <c r="D93" s="8"/>
      <c r="E93" s="8"/>
      <c r="F93" s="8"/>
      <c r="G93" s="8"/>
      <c r="H93" s="8"/>
      <c r="I93" s="8"/>
      <c r="J93" s="8"/>
      <c r="K93" s="8"/>
      <c r="L93" s="15"/>
      <c r="M93" s="12"/>
      <c r="N93" s="12"/>
    </row>
    <row r="94" spans="3:14" x14ac:dyDescent="0.3">
      <c r="D94" s="8"/>
      <c r="E94" s="8"/>
      <c r="F94" s="8"/>
      <c r="G94" s="8"/>
      <c r="H94" s="8"/>
      <c r="I94" s="8"/>
      <c r="J94" s="8"/>
      <c r="K94" s="8"/>
      <c r="L94" s="15"/>
      <c r="M94" s="12"/>
      <c r="N94" s="12"/>
    </row>
    <row r="95" spans="3:14" x14ac:dyDescent="0.3">
      <c r="D95" s="8"/>
      <c r="E95" s="8"/>
      <c r="F95" s="8"/>
      <c r="G95" s="8"/>
      <c r="H95" s="8"/>
      <c r="I95" s="8"/>
      <c r="J95" s="8"/>
      <c r="K95" s="8"/>
      <c r="L95" s="15"/>
      <c r="M95" s="12"/>
      <c r="N95" s="12"/>
    </row>
    <row r="96" spans="3:14" x14ac:dyDescent="0.3">
      <c r="D96" s="8"/>
      <c r="E96" s="8"/>
      <c r="F96" s="8"/>
      <c r="G96" s="8"/>
      <c r="H96" s="8"/>
      <c r="I96" s="8"/>
      <c r="J96" s="8"/>
      <c r="K96" s="8"/>
      <c r="L96" s="15"/>
      <c r="M96" s="12"/>
      <c r="N96" s="12"/>
    </row>
    <row r="97" spans="4:14" x14ac:dyDescent="0.3">
      <c r="D97" s="8"/>
      <c r="E97" s="8"/>
      <c r="F97" s="8"/>
      <c r="G97" s="8"/>
      <c r="H97" s="8"/>
      <c r="I97" s="8"/>
      <c r="J97" s="8"/>
      <c r="K97" s="8"/>
      <c r="L97" s="15"/>
      <c r="M97" s="12"/>
      <c r="N97" s="12"/>
    </row>
    <row r="98" spans="4:14" x14ac:dyDescent="0.3">
      <c r="D98" s="8"/>
      <c r="E98" s="8"/>
      <c r="F98" s="8"/>
      <c r="G98" s="8"/>
      <c r="H98" s="8"/>
      <c r="I98" s="8"/>
      <c r="J98" s="8"/>
      <c r="K98" s="8"/>
      <c r="L98" s="15"/>
      <c r="M98" s="12"/>
      <c r="N98" s="12"/>
    </row>
    <row r="99" spans="4:14" x14ac:dyDescent="0.3">
      <c r="D99" s="8"/>
      <c r="E99" s="8"/>
      <c r="F99" s="8"/>
      <c r="G99" s="8"/>
      <c r="H99" s="8"/>
      <c r="I99" s="8"/>
      <c r="J99" s="8"/>
      <c r="K99" s="8"/>
      <c r="L99" s="15"/>
      <c r="M99" s="12"/>
      <c r="N99" s="12"/>
    </row>
    <row r="100" spans="4:14" x14ac:dyDescent="0.3">
      <c r="D100" s="8"/>
      <c r="E100" s="8"/>
      <c r="F100" s="8"/>
      <c r="G100" s="8"/>
      <c r="H100" s="8"/>
      <c r="I100" s="8"/>
      <c r="J100" s="8"/>
      <c r="K100" s="8"/>
      <c r="L100" s="15"/>
      <c r="M100" s="12"/>
      <c r="N100" s="12"/>
    </row>
    <row r="101" spans="4:14" x14ac:dyDescent="0.3">
      <c r="D101" s="8"/>
      <c r="E101" s="8"/>
      <c r="F101" s="8"/>
      <c r="G101" s="8"/>
      <c r="H101" s="8"/>
      <c r="I101" s="8"/>
      <c r="J101" s="8"/>
      <c r="K101" s="8"/>
      <c r="L101" s="15"/>
      <c r="M101" s="12"/>
      <c r="N101" s="12"/>
    </row>
    <row r="102" spans="4:14" ht="20.25" x14ac:dyDescent="0.35">
      <c r="D102" s="8"/>
      <c r="E102" s="45" t="s">
        <v>44</v>
      </c>
      <c r="F102" s="8"/>
      <c r="G102" s="8"/>
      <c r="H102" s="8"/>
      <c r="I102" s="8"/>
      <c r="J102" s="8"/>
      <c r="K102" s="8"/>
      <c r="L102" s="15"/>
      <c r="M102" s="12"/>
      <c r="N102" s="12"/>
    </row>
    <row r="103" spans="4:14" x14ac:dyDescent="0.3">
      <c r="D103" s="8"/>
      <c r="E103" s="46" t="s">
        <v>45</v>
      </c>
      <c r="F103" s="8"/>
      <c r="G103" s="8"/>
      <c r="H103" s="8"/>
      <c r="I103" s="8"/>
      <c r="J103" s="8"/>
      <c r="K103" s="8"/>
      <c r="L103" s="15"/>
      <c r="M103" s="12"/>
      <c r="N103" s="12"/>
    </row>
    <row r="104" spans="4:14" x14ac:dyDescent="0.3">
      <c r="D104" s="8"/>
      <c r="E104" s="8"/>
      <c r="F104" s="8"/>
      <c r="G104" s="8"/>
      <c r="H104" s="8"/>
      <c r="I104" s="8"/>
      <c r="J104" s="8"/>
      <c r="K104" s="8"/>
      <c r="L104" s="15"/>
      <c r="M104" s="12"/>
      <c r="N104" s="12"/>
    </row>
    <row r="105" spans="4:14" x14ac:dyDescent="0.3">
      <c r="D105" s="8"/>
      <c r="E105" s="8"/>
      <c r="F105" s="8"/>
      <c r="G105" s="8"/>
      <c r="H105" s="8"/>
      <c r="I105" s="8"/>
      <c r="J105" s="8"/>
      <c r="K105" s="8"/>
      <c r="L105" s="15"/>
      <c r="M105" s="12"/>
      <c r="N105" s="12"/>
    </row>
    <row r="106" spans="4:14" x14ac:dyDescent="0.3">
      <c r="D106" s="8"/>
      <c r="E106" s="8"/>
      <c r="F106" s="8"/>
      <c r="G106" s="8"/>
      <c r="H106" s="8"/>
      <c r="I106" s="8"/>
      <c r="J106" s="8"/>
      <c r="K106" s="8"/>
      <c r="L106" s="15"/>
      <c r="M106" s="12"/>
      <c r="N106" s="12"/>
    </row>
    <row r="107" spans="4:14" x14ac:dyDescent="0.3">
      <c r="D107" s="8"/>
      <c r="E107" s="8"/>
      <c r="F107" s="8"/>
      <c r="G107" s="8"/>
      <c r="H107" s="8"/>
      <c r="I107" s="8"/>
      <c r="J107" s="8"/>
      <c r="K107" s="8"/>
      <c r="L107" s="15"/>
      <c r="M107" s="12"/>
      <c r="N107" s="12"/>
    </row>
    <row r="108" spans="4:14" x14ac:dyDescent="0.3">
      <c r="D108" s="8"/>
      <c r="E108" s="8"/>
      <c r="F108" s="8"/>
      <c r="G108" s="8"/>
      <c r="H108" s="8"/>
      <c r="I108" s="8"/>
      <c r="J108" s="8"/>
      <c r="K108" s="8"/>
      <c r="L108" s="15"/>
      <c r="M108" s="12"/>
      <c r="N108" s="12"/>
    </row>
    <row r="109" spans="4:14" x14ac:dyDescent="0.3">
      <c r="D109" s="8"/>
      <c r="E109" s="8"/>
      <c r="F109" s="8"/>
      <c r="G109" s="8"/>
      <c r="H109" s="8"/>
      <c r="I109" s="8"/>
      <c r="J109" s="8"/>
      <c r="K109" s="8"/>
      <c r="L109" s="15"/>
      <c r="M109" s="12"/>
      <c r="N109" s="12"/>
    </row>
    <row r="110" spans="4:14" x14ac:dyDescent="0.3">
      <c r="D110" s="8"/>
      <c r="E110" s="8"/>
      <c r="F110" s="8"/>
      <c r="G110" s="8"/>
      <c r="H110" s="8"/>
      <c r="I110" s="8"/>
      <c r="J110" s="8"/>
      <c r="K110" s="8"/>
      <c r="L110" s="15"/>
      <c r="M110" s="12"/>
      <c r="N110" s="12"/>
    </row>
    <row r="111" spans="4:14" x14ac:dyDescent="0.3">
      <c r="D111" s="8"/>
      <c r="E111" s="8"/>
      <c r="F111" s="8"/>
      <c r="G111" s="8"/>
      <c r="H111" s="8"/>
      <c r="I111" s="8"/>
      <c r="J111" s="8"/>
      <c r="K111" s="8"/>
      <c r="L111" s="15"/>
      <c r="M111" s="12"/>
      <c r="N111" s="12"/>
    </row>
    <row r="112" spans="4:14" x14ac:dyDescent="0.3">
      <c r="D112" s="8"/>
      <c r="E112" s="8"/>
      <c r="F112" s="8"/>
      <c r="G112" s="8"/>
      <c r="H112" s="8"/>
      <c r="I112" s="8"/>
      <c r="J112" s="8"/>
      <c r="K112" s="8"/>
      <c r="L112" s="15"/>
      <c r="M112" s="12"/>
      <c r="N112" s="12"/>
    </row>
    <row r="113" spans="2:14" x14ac:dyDescent="0.3">
      <c r="D113" s="8"/>
      <c r="E113" s="8"/>
      <c r="F113" s="8"/>
      <c r="G113" s="8"/>
      <c r="H113" s="8"/>
      <c r="I113" s="8"/>
      <c r="J113" s="8"/>
      <c r="K113" s="8"/>
      <c r="L113" s="15"/>
      <c r="M113" s="12"/>
      <c r="N113" s="12"/>
    </row>
    <row r="114" spans="2:14" x14ac:dyDescent="0.3">
      <c r="D114" s="8"/>
      <c r="E114" s="8"/>
      <c r="F114" s="8"/>
      <c r="G114" s="8"/>
      <c r="H114" s="8"/>
      <c r="I114" s="8"/>
      <c r="J114" s="8"/>
      <c r="K114" s="8"/>
      <c r="L114" s="15"/>
      <c r="M114" s="12"/>
      <c r="N114" s="12"/>
    </row>
    <row r="115" spans="2:14" x14ac:dyDescent="0.3">
      <c r="D115" s="8"/>
      <c r="E115" s="8"/>
      <c r="F115" s="8"/>
      <c r="G115" s="8"/>
      <c r="H115" s="8"/>
      <c r="I115" s="8"/>
      <c r="J115" s="8"/>
      <c r="K115" s="8"/>
      <c r="L115" s="15"/>
      <c r="M115" s="12"/>
      <c r="N115" s="12"/>
    </row>
    <row r="116" spans="2:14" x14ac:dyDescent="0.3">
      <c r="D116" s="8"/>
      <c r="E116" s="8"/>
      <c r="F116" s="8"/>
      <c r="G116" s="8"/>
      <c r="H116" s="8"/>
      <c r="I116" s="8"/>
      <c r="J116" s="8"/>
      <c r="K116" s="8"/>
      <c r="M116" s="12"/>
      <c r="N116" s="12"/>
    </row>
    <row r="117" spans="2:14" x14ac:dyDescent="0.3">
      <c r="B117" s="2"/>
      <c r="C117" s="2"/>
      <c r="D117" s="2"/>
      <c r="E117" s="2"/>
      <c r="F117" s="2"/>
      <c r="G117" s="2"/>
      <c r="H117" s="2"/>
      <c r="I117" s="2"/>
      <c r="J117" s="2"/>
      <c r="K117" s="2"/>
      <c r="M117" s="12"/>
      <c r="N117" s="12"/>
    </row>
    <row r="118" spans="2:14" x14ac:dyDescent="0.3">
      <c r="B118" s="2"/>
      <c r="C118" s="2"/>
      <c r="D118" s="2"/>
      <c r="E118" s="2"/>
      <c r="F118" s="2"/>
      <c r="G118" s="2"/>
      <c r="H118" s="2"/>
      <c r="I118" s="2"/>
      <c r="J118" s="2"/>
      <c r="K118" s="2"/>
      <c r="M118" s="12"/>
      <c r="N118" s="12"/>
    </row>
    <row r="119" spans="2:14" x14ac:dyDescent="0.3">
      <c r="B119" s="2"/>
      <c r="C119" s="2"/>
      <c r="D119" s="2"/>
      <c r="E119" s="2"/>
      <c r="F119" s="2"/>
      <c r="G119" s="2"/>
      <c r="H119" s="2"/>
      <c r="I119" s="2"/>
      <c r="J119" s="2"/>
      <c r="K119" s="2"/>
      <c r="M119" s="12"/>
      <c r="N119" s="12"/>
    </row>
    <row r="120" spans="2:14" x14ac:dyDescent="0.3">
      <c r="B120" s="2"/>
      <c r="C120" s="2"/>
      <c r="D120" s="2"/>
      <c r="E120" s="2"/>
      <c r="F120" s="2"/>
      <c r="G120" s="2"/>
      <c r="H120" s="2"/>
      <c r="I120" s="2"/>
      <c r="J120" s="2"/>
      <c r="K120" s="2"/>
      <c r="M120" s="12"/>
      <c r="N120" s="12"/>
    </row>
    <row r="121" spans="2:14" x14ac:dyDescent="0.3">
      <c r="B121" s="2"/>
      <c r="C121" s="2"/>
      <c r="D121" s="2"/>
      <c r="E121" s="2"/>
      <c r="F121" s="2"/>
      <c r="G121" s="2"/>
      <c r="H121" s="2"/>
      <c r="I121" s="2"/>
      <c r="J121" s="2"/>
      <c r="K121" s="2"/>
      <c r="M121" s="12"/>
      <c r="N121" s="12"/>
    </row>
    <row r="122" spans="2:14" x14ac:dyDescent="0.3">
      <c r="D122" s="8"/>
      <c r="E122" s="8"/>
      <c r="F122" s="8"/>
      <c r="G122" s="8"/>
      <c r="H122" s="8"/>
      <c r="I122" s="8"/>
      <c r="J122" s="8"/>
      <c r="K122" s="8"/>
      <c r="L122" s="15"/>
      <c r="M122" s="12"/>
      <c r="N122" s="12"/>
    </row>
    <row r="123" spans="2:14" x14ac:dyDescent="0.3">
      <c r="D123" s="8"/>
      <c r="E123" s="8"/>
      <c r="F123" s="8"/>
      <c r="G123" s="8"/>
      <c r="H123" s="8"/>
      <c r="I123" s="8"/>
      <c r="J123" s="8"/>
      <c r="K123" s="8"/>
      <c r="L123" s="15"/>
      <c r="M123" s="12"/>
      <c r="N123" s="12"/>
    </row>
    <row r="124" spans="2:14" ht="24.75" x14ac:dyDescent="0.45">
      <c r="C124" s="1" t="s">
        <v>46</v>
      </c>
      <c r="D124" s="8"/>
      <c r="E124" s="8"/>
      <c r="F124" s="8"/>
      <c r="G124" s="8"/>
      <c r="H124" s="8"/>
      <c r="I124" s="8"/>
      <c r="J124" s="8"/>
      <c r="K124" s="8"/>
      <c r="L124" s="15"/>
      <c r="M124" s="12"/>
      <c r="N124" s="12"/>
    </row>
    <row r="125" spans="2:14" x14ac:dyDescent="0.3">
      <c r="D125" s="13"/>
      <c r="E125" s="13"/>
      <c r="F125" s="13"/>
      <c r="G125" s="13"/>
      <c r="H125" s="13"/>
      <c r="I125" s="13"/>
      <c r="J125" s="13"/>
      <c r="K125" s="8"/>
      <c r="L125" s="15"/>
      <c r="M125" s="12"/>
      <c r="N125" s="12"/>
    </row>
    <row r="126" spans="2:14" x14ac:dyDescent="0.3">
      <c r="C126" s="3" t="s">
        <v>47</v>
      </c>
      <c r="D126" s="8">
        <f>HLOOKUP(D$8,Controls,MATCH($C126,ControlsVariable,0)+MATCH($C$20,$C$293:$C$294,0))</f>
        <v>85759</v>
      </c>
      <c r="E126" s="8">
        <f>HLOOKUP(E$8,Controls,MATCH($C126,ControlsVariable,0)+MATCH($C$20,$C$293:$C$294,0))</f>
        <v>90515</v>
      </c>
      <c r="F126" s="8">
        <f t="shared" ref="F126:I126" si="4">E126+F127</f>
        <v>94581.270851634559</v>
      </c>
      <c r="G126" s="8">
        <f t="shared" si="4"/>
        <v>100275.83263186454</v>
      </c>
      <c r="H126" s="8">
        <f t="shared" si="4"/>
        <v>104750.40403438125</v>
      </c>
      <c r="I126" s="8">
        <f t="shared" si="4"/>
        <v>109239.14173889403</v>
      </c>
      <c r="J126" s="8"/>
      <c r="K126" s="8"/>
      <c r="L126" s="15"/>
      <c r="M126" s="12"/>
      <c r="N126" s="12"/>
    </row>
    <row r="127" spans="2:14" x14ac:dyDescent="0.3">
      <c r="C127" s="3" t="s">
        <v>48</v>
      </c>
      <c r="D127" s="8"/>
      <c r="E127" s="8">
        <f>HLOOKUP(E$8,Controls,MATCH($C126,ControlsVariable,0)+MATCH($C$20,$C$293:$C$294,0))-HLOOKUP(E$8-1,Controls,MATCH($C126,ControlsVariable,0)+MATCH($C$20,$C$293:$C$294,0))</f>
        <v>4756</v>
      </c>
      <c r="F127" s="8">
        <f>SUM(F128:F131)</f>
        <v>4066.2708516345592</v>
      </c>
      <c r="G127" s="8">
        <f>SUM(G128:G131)</f>
        <v>5694.5617802299757</v>
      </c>
      <c r="H127" s="8">
        <f>SUM(H128:H131)</f>
        <v>4474.5714025167044</v>
      </c>
      <c r="I127" s="8">
        <f>SUM(I128:I131)</f>
        <v>4488.737704512786</v>
      </c>
      <c r="J127" s="8"/>
      <c r="K127" s="8"/>
      <c r="L127" s="15"/>
      <c r="M127" s="12"/>
      <c r="N127" s="12"/>
    </row>
    <row r="128" spans="2:14" x14ac:dyDescent="0.3">
      <c r="C128" s="3" t="s">
        <v>49</v>
      </c>
      <c r="D128" s="8"/>
      <c r="E128" s="8"/>
      <c r="F128" s="8">
        <f>HLOOKUP(F$8,Controls,MATCH($C126,ControlsVariable,0)+MATCH($C$20,$C$293:$C$294,0))-HLOOKUP(F$8-1,Controls,MATCH($C126,ControlsVariable,0)+MATCH($C$20,$C$293:$C$294,0))</f>
        <v>3635</v>
      </c>
      <c r="G128" s="8">
        <f>HLOOKUP(G$8,Controls,MATCH($C126,ControlsVariable,0)+MATCH($C$20,$C$293:$C$294,0))-HLOOKUP(G$8-1,Controls,MATCH($C126,ControlsVariable,0)+MATCH($C$20,$C$293:$C$294,0))</f>
        <v>5320</v>
      </c>
      <c r="H128" s="8">
        <f>HLOOKUP(H$8,Controls,MATCH($C126,ControlsVariable,0)+MATCH($C$20,$C$293:$C$294,0))-HLOOKUP(H$8-1,Controls,MATCH($C126,ControlsVariable,0)+MATCH($C$20,$C$293:$C$294,0))</f>
        <v>4230</v>
      </c>
      <c r="I128" s="8">
        <f>HLOOKUP(I$8,Controls,MATCH($C126,ControlsVariable,0)+MATCH($C$20,$C$293:$C$294,0))-HLOOKUP(I$8-1,Controls,MATCH($C126,ControlsVariable,0)+MATCH($C$20,$C$293:$C$294,0))</f>
        <v>4420</v>
      </c>
      <c r="J128" s="8"/>
      <c r="K128" s="8"/>
      <c r="L128" s="15"/>
      <c r="M128" s="12"/>
      <c r="N128" s="12"/>
    </row>
    <row r="129" spans="3:14" x14ac:dyDescent="0.3">
      <c r="C129" s="3" t="s">
        <v>50</v>
      </c>
      <c r="E129" s="8"/>
      <c r="F129" s="8">
        <f>F44</f>
        <v>0</v>
      </c>
      <c r="G129" s="8">
        <f>G44</f>
        <v>0</v>
      </c>
      <c r="H129" s="8">
        <f>H44</f>
        <v>0</v>
      </c>
      <c r="I129" s="8">
        <f>I44</f>
        <v>0</v>
      </c>
      <c r="J129" s="8"/>
      <c r="K129" s="8"/>
      <c r="L129" s="15"/>
      <c r="M129" s="12"/>
      <c r="N129" s="12"/>
    </row>
    <row r="130" spans="3:14" x14ac:dyDescent="0.3">
      <c r="C130" s="3" t="s">
        <v>141</v>
      </c>
      <c r="E130" s="8"/>
      <c r="F130" s="8">
        <f>SUM(F264:F268)</f>
        <v>0</v>
      </c>
      <c r="G130" s="8">
        <f>SUM(G264:G268)</f>
        <v>0</v>
      </c>
      <c r="H130" s="8">
        <f>SUM(H264:H268)</f>
        <v>0</v>
      </c>
      <c r="I130" s="8">
        <f>SUM(I264:I268)</f>
        <v>0</v>
      </c>
      <c r="J130" s="8"/>
      <c r="K130" s="8"/>
      <c r="L130" s="15"/>
      <c r="M130" s="12"/>
      <c r="N130" s="12"/>
    </row>
    <row r="131" spans="3:14" x14ac:dyDescent="0.3">
      <c r="C131" s="3" t="s">
        <v>51</v>
      </c>
      <c r="E131" s="8"/>
      <c r="F131" s="8">
        <f>(E126+SUM(F128:F130))*(F$153/(E$153*(1+F23%))%-100)%</f>
        <v>431.27085163455905</v>
      </c>
      <c r="G131" s="8">
        <f>(F126+SUM(G128:G130))*(G$153/(F$153*(1+G23%))%-100)%</f>
        <v>374.56178022997568</v>
      </c>
      <c r="H131" s="8">
        <f>(G126+SUM(H128:H130))*(H$153/(G$153*(1+H23%))%-100)%</f>
        <v>244.57140251670427</v>
      </c>
      <c r="I131" s="8">
        <f>(H126+SUM(I128:I130))*(I$153/(H$153*(1+I23%))%-100)%</f>
        <v>68.737704512786067</v>
      </c>
      <c r="J131" s="8"/>
      <c r="K131" s="8"/>
      <c r="L131" s="15"/>
      <c r="M131" s="12"/>
      <c r="N131" s="12"/>
    </row>
    <row r="132" spans="3:14" x14ac:dyDescent="0.3">
      <c r="K132" s="8"/>
      <c r="L132" s="15"/>
      <c r="M132" s="12"/>
      <c r="N132" s="12"/>
    </row>
    <row r="133" spans="3:14" x14ac:dyDescent="0.3">
      <c r="C133" s="3" t="s">
        <v>52</v>
      </c>
      <c r="D133" s="8">
        <f>HLOOKUP(D$8,Controls,MATCH($C133,ControlsVariable,0)+MATCH($C$20,$C$276:$C$277,0),FALSE)</f>
        <v>100491</v>
      </c>
      <c r="E133" s="8">
        <f>HLOOKUP(E$8,Controls,MATCH($C133,ControlsVariable,0)+MATCH($C$20,$C$276:$C$277,0),FALSE)</f>
        <v>105215</v>
      </c>
      <c r="F133" s="8">
        <f t="shared" ref="F133:I133" si="5">E133+F134</f>
        <v>103741</v>
      </c>
      <c r="G133" s="8">
        <f t="shared" si="5"/>
        <v>104480</v>
      </c>
      <c r="H133" s="8">
        <f t="shared" si="5"/>
        <v>108643</v>
      </c>
      <c r="I133" s="8">
        <f t="shared" si="5"/>
        <v>113209</v>
      </c>
      <c r="J133" s="8"/>
      <c r="K133" s="8"/>
      <c r="L133" s="15"/>
      <c r="M133" s="12"/>
      <c r="N133" s="12"/>
    </row>
    <row r="134" spans="3:14" x14ac:dyDescent="0.3">
      <c r="C134" s="3" t="s">
        <v>48</v>
      </c>
      <c r="D134" s="8"/>
      <c r="E134" s="8">
        <f>HLOOKUP(E$8,Controls,MATCH($C133,ControlsVariable,0)+MATCH($C$20,$C$276:$C$277,0),FALSE)-HLOOKUP(E$8-1,Controls,MATCH($C133,ControlsVariable,0)+MATCH($C$20,$C$276:$C$277,0),FALSE)</f>
        <v>4724</v>
      </c>
      <c r="F134" s="8">
        <f>SUM(F135:F139)</f>
        <v>-1474</v>
      </c>
      <c r="G134" s="8">
        <f>SUM(G135:G139)</f>
        <v>739</v>
      </c>
      <c r="H134" s="8">
        <f>SUM(H135:H139)</f>
        <v>4163</v>
      </c>
      <c r="I134" s="8">
        <f>SUM(I135:I139)</f>
        <v>4566</v>
      </c>
      <c r="J134" s="8"/>
      <c r="K134" s="8"/>
      <c r="L134" s="15"/>
      <c r="M134" s="12"/>
      <c r="N134" s="12"/>
    </row>
    <row r="135" spans="3:14" x14ac:dyDescent="0.3">
      <c r="C135" s="3" t="s">
        <v>53</v>
      </c>
      <c r="D135" s="8"/>
      <c r="E135" s="8"/>
      <c r="F135" s="8">
        <f>F32+F36+F40+F48+F51</f>
        <v>2109</v>
      </c>
      <c r="G135" s="8">
        <f>G32+G36+G40+G48+G51</f>
        <v>2358</v>
      </c>
      <c r="H135" s="8">
        <f>H32+H36+H40+H48+H51</f>
        <v>2564</v>
      </c>
      <c r="I135" s="8">
        <f>I32+I36+I40+I48+I51</f>
        <v>2654</v>
      </c>
      <c r="J135" s="8"/>
      <c r="K135" s="8"/>
      <c r="L135" s="15"/>
      <c r="M135" s="12"/>
      <c r="N135" s="12"/>
    </row>
    <row r="136" spans="3:14" x14ac:dyDescent="0.3">
      <c r="C136" s="3" t="s">
        <v>54</v>
      </c>
      <c r="D136" s="8"/>
      <c r="E136" s="8"/>
      <c r="F136" s="8">
        <f>12295-11105</f>
        <v>1190</v>
      </c>
      <c r="G136" s="8">
        <f>13355-12295</f>
        <v>1060</v>
      </c>
      <c r="H136" s="8">
        <f>14350-13355</f>
        <v>995</v>
      </c>
      <c r="I136" s="8">
        <f>14840-14350</f>
        <v>490</v>
      </c>
      <c r="J136" s="8"/>
      <c r="K136" s="8"/>
      <c r="L136" s="15"/>
      <c r="M136" s="12"/>
      <c r="N136" s="12"/>
    </row>
    <row r="137" spans="3:14" x14ac:dyDescent="0.3">
      <c r="C137" s="3" t="s">
        <v>55</v>
      </c>
      <c r="D137" s="8"/>
      <c r="E137" s="8"/>
      <c r="F137" s="8">
        <v>920</v>
      </c>
      <c r="G137" s="8">
        <v>910</v>
      </c>
      <c r="H137" s="8">
        <v>900</v>
      </c>
      <c r="I137" s="8">
        <v>940</v>
      </c>
      <c r="J137" s="8"/>
      <c r="K137" s="8"/>
      <c r="L137" s="15"/>
      <c r="M137" s="12"/>
      <c r="N137" s="12"/>
    </row>
    <row r="138" spans="3:14" x14ac:dyDescent="0.3">
      <c r="C138" s="3" t="s">
        <v>56</v>
      </c>
      <c r="D138" s="8"/>
      <c r="E138" s="8"/>
      <c r="F138" s="8">
        <f>HLOOKUP(F$8,Controls,MATCH($C133,ControlsVariable,0)+MATCH($C$20,$C$276:$C$277,0),FALSE)-SUM(F51,F136:F137)-HLOOKUP(F$8-1,Controls,MATCH($C133,ControlsVariable,0)+MATCH($C$20,$C$276:$C$277,0),FALSE)</f>
        <v>-5693</v>
      </c>
      <c r="G138" s="8">
        <f>HLOOKUP(G$8,Controls,MATCH($C133,ControlsVariable,0)+MATCH($C$20,$C$276:$C$277,0),FALSE)-SUM(G51,G136:G137)-HLOOKUP(G$8-1,Controls,MATCH($C133,ControlsVariable,0)+MATCH($C$20,$C$276:$C$277,0),FALSE)</f>
        <v>-3589</v>
      </c>
      <c r="H138" s="8">
        <f>HLOOKUP(H$8,Controls,MATCH($C133,ControlsVariable,0)+MATCH($C$20,$C$276:$C$277,0),FALSE)-SUM(H51,H136:H137)-HLOOKUP(H$8-1,Controls,MATCH($C133,ControlsVariable,0)+MATCH($C$20,$C$276:$C$277,0),FALSE)</f>
        <v>-296</v>
      </c>
      <c r="I138" s="8">
        <f>HLOOKUP(I$8,Controls,MATCH($C133,ControlsVariable,0)+MATCH($C$20,$C$276:$C$277,0),FALSE)-SUM(I51,I136:I137)-HLOOKUP(I$8-1,Controls,MATCH($C133,ControlsVariable,0)+MATCH($C$20,$C$276:$C$277,0),FALSE)</f>
        <v>482</v>
      </c>
      <c r="J138" s="8"/>
      <c r="K138" s="8"/>
      <c r="L138" s="15"/>
      <c r="M138" s="12"/>
      <c r="N138" s="12"/>
    </row>
    <row r="139" spans="3:14" x14ac:dyDescent="0.3">
      <c r="C139" s="3" t="s">
        <v>57</v>
      </c>
      <c r="D139" s="8"/>
      <c r="E139" s="8"/>
      <c r="F139" s="8">
        <f>SUM(F60:F61)</f>
        <v>0</v>
      </c>
      <c r="G139" s="8">
        <f t="shared" ref="G139:I139" si="6">SUM(G60:G61)</f>
        <v>0</v>
      </c>
      <c r="H139" s="8">
        <f t="shared" si="6"/>
        <v>0</v>
      </c>
      <c r="I139" s="8">
        <f t="shared" si="6"/>
        <v>0</v>
      </c>
      <c r="J139" s="8"/>
      <c r="K139" s="8"/>
      <c r="L139" s="15"/>
      <c r="M139" s="12"/>
      <c r="N139" s="12"/>
    </row>
    <row r="140" spans="3:14" x14ac:dyDescent="0.3">
      <c r="K140" s="8"/>
      <c r="L140" s="15"/>
      <c r="M140" s="12"/>
      <c r="N140" s="12"/>
    </row>
    <row r="141" spans="3:14" x14ac:dyDescent="0.3">
      <c r="C141" s="3" t="s">
        <v>58</v>
      </c>
      <c r="D141" s="8">
        <f t="shared" ref="D141:I141" si="7">HLOOKUP(D$8,Controls,MATCH($C141,ControlsVariable,0)+MATCH($C$20,$C$293:$C$294,0))</f>
        <v>3684</v>
      </c>
      <c r="E141" s="8">
        <f t="shared" si="7"/>
        <v>3360</v>
      </c>
      <c r="F141" s="8">
        <f t="shared" si="7"/>
        <v>3665</v>
      </c>
      <c r="G141" s="8">
        <f t="shared" si="7"/>
        <v>3830</v>
      </c>
      <c r="H141" s="8">
        <f t="shared" si="7"/>
        <v>3795</v>
      </c>
      <c r="I141" s="8">
        <f t="shared" si="7"/>
        <v>3445</v>
      </c>
      <c r="J141" s="8"/>
      <c r="K141" s="8"/>
      <c r="L141" s="15"/>
      <c r="M141" s="12"/>
      <c r="N141" s="12"/>
    </row>
    <row r="142" spans="3:14" x14ac:dyDescent="0.3">
      <c r="D142" s="8"/>
      <c r="E142" s="8"/>
      <c r="F142" s="8"/>
      <c r="G142" s="8"/>
      <c r="H142" s="8"/>
      <c r="I142" s="8"/>
      <c r="J142" s="8"/>
      <c r="K142" s="8"/>
      <c r="L142" s="15"/>
      <c r="M142" s="12"/>
      <c r="N142" s="12"/>
    </row>
    <row r="143" spans="3:14" x14ac:dyDescent="0.3">
      <c r="C143" s="3" t="s">
        <v>59</v>
      </c>
      <c r="D143" s="8">
        <v>218157</v>
      </c>
      <c r="E143" s="8">
        <f>E147+E81</f>
        <v>230380.72914836544</v>
      </c>
      <c r="F143" s="8">
        <f>F147+F81</f>
        <v>238938.64528927594</v>
      </c>
      <c r="G143" s="8">
        <f>G147+G81</f>
        <v>247981.80487483973</v>
      </c>
      <c r="H143" s="8">
        <f>H147+H81</f>
        <v>256684.24773565479</v>
      </c>
      <c r="I143" s="8">
        <f>I147+I81</f>
        <v>265099.96762151079</v>
      </c>
      <c r="J143" s="8"/>
      <c r="K143" s="8"/>
      <c r="L143" s="15"/>
      <c r="M143" s="12"/>
      <c r="N143" s="12"/>
    </row>
    <row r="144" spans="3:14" x14ac:dyDescent="0.3">
      <c r="C144" s="3" t="s">
        <v>41</v>
      </c>
      <c r="D144" s="13">
        <f t="shared" ref="D144:I144" si="8">D143/D$153%</f>
        <v>107.55922593368668</v>
      </c>
      <c r="E144" s="13">
        <f t="shared" si="8"/>
        <v>109.6626836408805</v>
      </c>
      <c r="F144" s="13">
        <f t="shared" si="8"/>
        <v>105.25869866845889</v>
      </c>
      <c r="G144" s="13">
        <f t="shared" si="8"/>
        <v>104.0948605184746</v>
      </c>
      <c r="H144" s="13">
        <f t="shared" si="8"/>
        <v>102.87232107626143</v>
      </c>
      <c r="I144" s="13">
        <f t="shared" si="8"/>
        <v>101.70636983857563</v>
      </c>
      <c r="J144" s="13"/>
      <c r="K144" s="8"/>
      <c r="L144" s="15"/>
      <c r="M144" s="12"/>
      <c r="N144" s="12"/>
    </row>
    <row r="145" spans="3:14" x14ac:dyDescent="0.3">
      <c r="C145" s="3" t="s">
        <v>60</v>
      </c>
      <c r="D145" s="8"/>
      <c r="E145" s="13">
        <f t="shared" ref="E145:H145" si="9">ROUND(E144-D144,8)</f>
        <v>2.1034577099999998</v>
      </c>
      <c r="F145" s="13">
        <f t="shared" si="9"/>
        <v>-4.4039849699999998</v>
      </c>
      <c r="G145" s="13">
        <f t="shared" si="9"/>
        <v>-1.1638381499999999</v>
      </c>
      <c r="H145" s="13">
        <f t="shared" si="9"/>
        <v>-1.22253944</v>
      </c>
      <c r="I145" s="13">
        <f>ROUND(I144-H144,8)</f>
        <v>-1.1659512400000001</v>
      </c>
      <c r="J145" s="8"/>
      <c r="K145" s="8"/>
      <c r="L145" s="15"/>
      <c r="M145" s="12"/>
      <c r="N145" s="12"/>
    </row>
    <row r="146" spans="3:14" x14ac:dyDescent="0.3">
      <c r="K146" s="8"/>
      <c r="L146" s="15"/>
      <c r="M146" s="12"/>
      <c r="N146" s="12"/>
    </row>
    <row r="147" spans="3:14" x14ac:dyDescent="0.3">
      <c r="C147" s="3" t="s">
        <v>61</v>
      </c>
      <c r="D147" s="8">
        <f>D143-D81</f>
        <v>30507</v>
      </c>
      <c r="E147" s="8">
        <f>MAX(F150,8.98845667318679%*E153)</f>
        <v>24670.729148365441</v>
      </c>
      <c r="F147" s="8">
        <f>MAX(G150,8.98845667318679%*F153)</f>
        <v>20403.916140910504</v>
      </c>
      <c r="G147" s="8">
        <f>MAX(H150,8.98845667318679%*G153)</f>
        <v>21412.908358338813</v>
      </c>
      <c r="H147" s="8">
        <f>MAX(I150,8.98845667318679%*H153)</f>
        <v>22427.755253535153</v>
      </c>
      <c r="I147" s="8">
        <f>MAX(J150,8.98845667318679%*I153)</f>
        <v>23428.616878285207</v>
      </c>
      <c r="J147" s="8"/>
      <c r="K147" s="8"/>
      <c r="L147" s="15"/>
      <c r="M147" s="12"/>
      <c r="N147" s="12"/>
    </row>
    <row r="148" spans="3:14" x14ac:dyDescent="0.3">
      <c r="C148" s="3" t="s">
        <v>41</v>
      </c>
      <c r="D148" s="13">
        <f>D147/D$153%</f>
        <v>15.041045236040922</v>
      </c>
      <c r="E148" s="13">
        <f t="shared" ref="E148:I148" si="10">E147/E$153%</f>
        <v>11.74342305360415</v>
      </c>
      <c r="F148" s="13">
        <f t="shared" si="10"/>
        <v>8.9884566731867892</v>
      </c>
      <c r="G148" s="13">
        <f t="shared" si="10"/>
        <v>8.988456673186791</v>
      </c>
      <c r="H148" s="13">
        <f t="shared" si="10"/>
        <v>8.9884566731867892</v>
      </c>
      <c r="I148" s="13">
        <f t="shared" si="10"/>
        <v>8.9884566731867892</v>
      </c>
      <c r="J148" s="13"/>
      <c r="K148" s="8"/>
      <c r="L148" s="15"/>
      <c r="M148" s="12"/>
      <c r="N148" s="12"/>
    </row>
    <row r="149" spans="3:14" x14ac:dyDescent="0.3">
      <c r="D149" s="13"/>
      <c r="E149" s="13"/>
      <c r="F149" s="13"/>
      <c r="G149" s="13"/>
      <c r="H149" s="13"/>
      <c r="I149" s="13"/>
      <c r="J149" s="13"/>
      <c r="K149" s="8"/>
      <c r="L149" s="15"/>
      <c r="M149" s="12"/>
      <c r="N149" s="12"/>
    </row>
    <row r="150" spans="3:14" x14ac:dyDescent="0.3">
      <c r="C150" s="3" t="s">
        <v>62</v>
      </c>
      <c r="D150" s="8"/>
      <c r="E150" s="8">
        <f>1000*(0.483+0.279)-E77</f>
        <v>18822</v>
      </c>
      <c r="F150" s="8">
        <f>1000*11.846-F77</f>
        <v>24670.729148365441</v>
      </c>
      <c r="G150" s="8">
        <f>1000*7.026-G77</f>
        <v>15060.167368135459</v>
      </c>
      <c r="H150" s="8">
        <f>1000*8.052-H77</f>
        <v>15739.595965618748</v>
      </c>
      <c r="I150" s="8">
        <f>1000*11.512-I77</f>
        <v>18926.858261105968</v>
      </c>
      <c r="J150" s="68">
        <f>AVERAGE(E150:I150)</f>
        <v>18643.870148645125</v>
      </c>
      <c r="K150" s="8"/>
      <c r="L150" s="15"/>
      <c r="M150" s="12"/>
      <c r="N150" s="12"/>
    </row>
    <row r="151" spans="3:14" x14ac:dyDescent="0.3">
      <c r="C151" s="3" t="s">
        <v>41</v>
      </c>
      <c r="D151" s="13"/>
      <c r="E151" s="13">
        <f>E150/E$153%</f>
        <v>8.9593910007958559</v>
      </c>
      <c r="F151" s="13">
        <f>F150/F$153%</f>
        <v>10.868098972500174</v>
      </c>
      <c r="G151" s="13">
        <f>G150/G$153%</f>
        <v>6.3217784158082839</v>
      </c>
      <c r="H151" s="13">
        <f>H150/H$153%</f>
        <v>6.3080176678907671</v>
      </c>
      <c r="I151" s="13">
        <f>I150/I$153%</f>
        <v>7.2613439505759745</v>
      </c>
      <c r="J151" s="13"/>
      <c r="K151" s="8"/>
      <c r="L151" s="15"/>
      <c r="M151" s="12"/>
      <c r="N151" s="12"/>
    </row>
    <row r="152" spans="3:14" x14ac:dyDescent="0.3">
      <c r="D152" s="8"/>
      <c r="E152" s="8"/>
      <c r="F152" s="8"/>
      <c r="G152" s="8"/>
      <c r="H152" s="8"/>
      <c r="I152" s="8"/>
      <c r="J152" s="8"/>
      <c r="K152" s="8"/>
      <c r="L152" s="15"/>
      <c r="M152" s="12"/>
      <c r="N152" s="12"/>
    </row>
    <row r="153" spans="3:14" x14ac:dyDescent="0.3">
      <c r="C153" s="3" t="s">
        <v>63</v>
      </c>
      <c r="D153" s="8">
        <v>202825</v>
      </c>
      <c r="E153" s="8">
        <f>SUM(E154:E157)</f>
        <v>210081.24322655477</v>
      </c>
      <c r="F153" s="8">
        <f>SUM(F154:F157)</f>
        <v>227001.32940259753</v>
      </c>
      <c r="G153" s="8">
        <f>SUM(G154:G157)</f>
        <v>238226.7516760141</v>
      </c>
      <c r="H153" s="8">
        <f>SUM(H154:H157)</f>
        <v>249517.30946691608</v>
      </c>
      <c r="I153" s="8">
        <f>SUM(I154:I157)</f>
        <v>260652.27580363658</v>
      </c>
      <c r="J153" s="8"/>
      <c r="K153" s="8"/>
      <c r="L153" s="15"/>
      <c r="M153" s="12"/>
      <c r="N153" s="12"/>
    </row>
    <row r="154" spans="3:14" x14ac:dyDescent="0.3">
      <c r="C154" s="3" t="s">
        <v>64</v>
      </c>
      <c r="E154" s="8">
        <f>D153*(1+E23%)</f>
        <v>210081.24322655477</v>
      </c>
      <c r="F154" s="8">
        <f>E153*(1+F23%)</f>
        <v>225966.25072610984</v>
      </c>
      <c r="G154" s="8">
        <f>F153*(1+G23%)</f>
        <v>237336.8998157582</v>
      </c>
      <c r="H154" s="8">
        <f>G153*(1+H23%)</f>
        <v>248934.73607360976</v>
      </c>
      <c r="I154" s="8">
        <f>H153*(1+I23%)</f>
        <v>260488.2628058267</v>
      </c>
      <c r="J154" s="8"/>
      <c r="K154" s="8"/>
      <c r="L154" s="15"/>
      <c r="M154" s="12"/>
      <c r="N154" s="12"/>
    </row>
    <row r="155" spans="3:14" x14ac:dyDescent="0.3">
      <c r="C155" s="3" t="s">
        <v>143</v>
      </c>
      <c r="E155" s="8"/>
      <c r="F155" s="8">
        <f>0.5*(F32+F36+F40+F48)</f>
        <v>820.5</v>
      </c>
      <c r="G155" s="8">
        <f>0.5*(G32+G36+G40+G48)-0.5*(F32+F36+F40+F48)/3</f>
        <v>666</v>
      </c>
      <c r="H155" s="8">
        <f>0.5*(H32+H36+H40+H48)-0.5*(F32+F36+F40+F48)/3-0.5*(G32+G36+G40+G48)/3</f>
        <v>454.83333333333331</v>
      </c>
      <c r="I155" s="8">
        <f>0.5*(I32+I36+I40+I48)-0.5*(F32+F36+F40+F48)/3-0.5*(G32+G36+G40+G48)/3-0.5*(H32+H36+H40+H48)/3</f>
        <v>131.66666666666663</v>
      </c>
      <c r="J155" s="8"/>
      <c r="K155" s="8"/>
      <c r="L155" s="15"/>
      <c r="M155" s="12"/>
      <c r="N155" s="12"/>
    </row>
    <row r="156" spans="3:14" x14ac:dyDescent="0.3">
      <c r="C156" s="3" t="s">
        <v>65</v>
      </c>
      <c r="E156" s="8"/>
      <c r="F156" s="8">
        <f>0.3*IF($C44="Yes, I want bands to rise if wages rise",HLOOKUP(F$8,Controls,MATCH($C43,ControlsVariable,0)+MATCH("No, I don't want bands to rise if wages rise",$C$317:$C$318,0),FALSE),0)</f>
        <v>214.57867648769385</v>
      </c>
      <c r="G156" s="8">
        <f>0.3*IF($C44="Yes, I want bands to rise if wages rise",HLOOKUP(G$8,Controls,MATCH($C43,ControlsVariable,0)+MATCH("No, I don't want bands to rise if wages rise",$C$317:$C$318,0)),0)-0.3*IF($C44="Yes, I want bands to rise if wages rise",HLOOKUP(F$8,Controls,MATCH($C43,ControlsVariable,0)+MATCH("No, I don't want bands to rise if wages rise",$C$317:$C$318,0)),0)/3</f>
        <v>223.85186025591605</v>
      </c>
      <c r="H156" s="8">
        <f>0.3*IF($C44="Yes, I want bands to rise if wages rise",HLOOKUP(H$8,Controls,MATCH($C43,ControlsVariable,0)+MATCH("No, I don't want bands to rise if wages rise",$C$317:$C$318,0)),0)-0.3*IF($C44="Yes, I want bands to rise if wages rise",HLOOKUP(F$8,Controls,MATCH($C43,ControlsVariable,0)+MATCH("No, I don't want bands to rise if wages rise",$C$317:$C$318,0)),0)/3-0.3*IF($C44="Yes, I want bands to rise if wages rise",HLOOKUP(G$8,Controls,MATCH($C43,ControlsVariable,0)+MATCH("No, I don't want bands to rise if wages rise",$C$317:$C$318,0)),0)/3</f>
        <v>127.7400599729873</v>
      </c>
      <c r="I156" s="8">
        <f>0.3*IF($C44="Yes, I want bands to rise if wages rise",HLOOKUP(I$8,Controls,MATCH($C43,ControlsVariable,0)+MATCH("No, I don't want bands to rise if wages rise",$C$317:$C$318,0)),0)-0.3*IF($C44="Yes, I want bands to rise if wages rise",HLOOKUP(F$8,Controls,MATCH($C43,ControlsVariable,0)+MATCH("No, I don't want bands to rise if wages rise",$C$317:$C$318,0)),0)/3-0.3*IF($C44="Yes, I want bands to rise if wages rise",HLOOKUP(G$8,Controls,MATCH($C43,ControlsVariable,0)+MATCH("No, I don't want bands to rise if wages rise",$C$317:$C$318,0)),0)/3-0.3*IF($C44="Yes, I want bands to rise if wages rise",HLOOKUP(H$8,Controls,MATCH($C43,ControlsVariable,0)+MATCH("No, I don't want bands to rise if wages rise",$C$317:$C$318,0)),0)/3</f>
        <v>32.346331143234366</v>
      </c>
      <c r="J156" s="8"/>
      <c r="K156" s="8"/>
      <c r="L156" s="15"/>
      <c r="M156" s="12"/>
      <c r="N156" s="12"/>
    </row>
    <row r="157" spans="3:14" x14ac:dyDescent="0.3">
      <c r="C157" s="3" t="s">
        <v>66</v>
      </c>
      <c r="E157" s="8"/>
      <c r="F157" s="8">
        <f>(0.5*F60+1.1*F61-0.3*F62)</f>
        <v>0</v>
      </c>
      <c r="G157" s="8">
        <f>(0.5*G60+1.1*G61-0.3*G62)-(0.5*F60+1.1*F61-0.3*F62)/3</f>
        <v>0</v>
      </c>
      <c r="H157" s="8">
        <f>(0.5*H60+1.1*H61-0.3*H62)-(0.5*F60+1.1*F61-0.3*F62)/3-(0.5*G60+1.1*G61-0.3*G62)/3</f>
        <v>0</v>
      </c>
      <c r="I157" s="8">
        <f>(0.5*I60+1.1*I61-0.3*I62)-(0.5*F60+1.1*F61-0.3*F62)/3-(0.5*G60+1.1*G61-0.3*G62)/3-(0.5*H60+1.1*H61-0.3*H62)/3</f>
        <v>0</v>
      </c>
      <c r="J157" s="8"/>
      <c r="K157" s="8"/>
      <c r="L157" s="15"/>
      <c r="M157" s="12"/>
      <c r="N157" s="12"/>
    </row>
    <row r="158" spans="3:14" x14ac:dyDescent="0.3">
      <c r="C158" s="3" t="s">
        <v>15</v>
      </c>
      <c r="D158" s="8"/>
      <c r="E158" s="13">
        <f>E153/D153%-100</f>
        <v>3.577588180231615</v>
      </c>
      <c r="F158" s="13">
        <f>F153/E153%-100</f>
        <v>8.0540679958733392</v>
      </c>
      <c r="G158" s="13">
        <f>G153/F153%-100</f>
        <v>4.9450909838099335</v>
      </c>
      <c r="H158" s="13">
        <f>H153/G153%-100</f>
        <v>4.7394164221560686</v>
      </c>
      <c r="I158" s="13">
        <f>I153/H153%-100</f>
        <v>4.462602759107142</v>
      </c>
      <c r="J158" s="13"/>
      <c r="K158" s="8"/>
      <c r="L158" s="15"/>
      <c r="M158" s="12"/>
      <c r="N158" s="12"/>
    </row>
    <row r="159" spans="3:14" x14ac:dyDescent="0.3">
      <c r="D159" s="8"/>
      <c r="E159" s="8"/>
      <c r="F159" s="8"/>
      <c r="G159" s="8"/>
      <c r="H159" s="8"/>
      <c r="I159" s="8"/>
      <c r="J159" s="8"/>
      <c r="K159" s="8"/>
      <c r="L159" s="15"/>
    </row>
    <row r="160" spans="3:14" x14ac:dyDescent="0.3">
      <c r="D160" s="8"/>
      <c r="E160" s="8"/>
      <c r="F160" s="8"/>
      <c r="G160" s="8"/>
      <c r="H160" s="8"/>
      <c r="I160" s="8"/>
      <c r="J160" s="8"/>
      <c r="K160" s="8"/>
      <c r="L160" s="15"/>
    </row>
    <row r="161" spans="4:12" x14ac:dyDescent="0.3">
      <c r="D161" s="8"/>
      <c r="E161" s="8"/>
      <c r="F161" s="8"/>
      <c r="G161" s="8"/>
      <c r="H161" s="8"/>
      <c r="I161" s="8"/>
      <c r="J161" s="8"/>
      <c r="K161" s="8"/>
      <c r="L161" s="15"/>
    </row>
    <row r="162" spans="4:12" x14ac:dyDescent="0.3">
      <c r="D162" s="8"/>
      <c r="E162" s="8"/>
      <c r="F162" s="8"/>
      <c r="G162" s="8"/>
      <c r="H162" s="8"/>
      <c r="I162" s="8"/>
      <c r="J162" s="8"/>
      <c r="K162" s="8"/>
      <c r="L162" s="15"/>
    </row>
    <row r="163" spans="4:12" x14ac:dyDescent="0.3">
      <c r="D163" s="8"/>
      <c r="E163" s="8"/>
      <c r="F163" s="8"/>
      <c r="G163" s="8"/>
      <c r="H163" s="8"/>
      <c r="I163" s="8"/>
      <c r="J163" s="8"/>
      <c r="K163" s="8"/>
      <c r="L163" s="15"/>
    </row>
    <row r="164" spans="4:12" x14ac:dyDescent="0.3">
      <c r="D164" s="8"/>
      <c r="E164" s="8"/>
      <c r="F164" s="8"/>
      <c r="G164" s="8"/>
      <c r="H164" s="8"/>
      <c r="I164" s="8"/>
      <c r="J164" s="8"/>
      <c r="K164" s="8"/>
      <c r="L164" s="15"/>
    </row>
    <row r="165" spans="4:12" x14ac:dyDescent="0.3">
      <c r="D165" s="8"/>
      <c r="E165" s="8"/>
      <c r="F165" s="8"/>
      <c r="G165" s="8"/>
      <c r="H165" s="8"/>
      <c r="I165" s="8"/>
      <c r="J165" s="8"/>
      <c r="K165" s="8"/>
      <c r="L165" s="15"/>
    </row>
    <row r="166" spans="4:12" x14ac:dyDescent="0.3">
      <c r="D166" s="8"/>
      <c r="E166" s="8"/>
      <c r="F166" s="8"/>
      <c r="G166" s="8"/>
      <c r="H166" s="8"/>
      <c r="I166" s="8"/>
      <c r="J166" s="8"/>
      <c r="K166" s="8"/>
      <c r="L166" s="15"/>
    </row>
    <row r="167" spans="4:12" x14ac:dyDescent="0.3">
      <c r="D167" s="8"/>
      <c r="E167" s="8"/>
      <c r="F167" s="8"/>
      <c r="G167" s="8"/>
      <c r="H167" s="8"/>
      <c r="I167" s="8"/>
      <c r="J167" s="8"/>
      <c r="K167" s="8"/>
      <c r="L167" s="15"/>
    </row>
    <row r="168" spans="4:12" x14ac:dyDescent="0.3">
      <c r="D168" s="8"/>
      <c r="E168" s="8"/>
      <c r="F168" s="8"/>
      <c r="G168" s="8"/>
      <c r="H168" s="8"/>
      <c r="I168" s="8"/>
      <c r="J168" s="8"/>
      <c r="K168" s="8"/>
      <c r="L168" s="15"/>
    </row>
    <row r="169" spans="4:12" x14ac:dyDescent="0.3">
      <c r="D169" s="8"/>
      <c r="E169" s="8"/>
      <c r="F169" s="8"/>
      <c r="G169" s="8"/>
      <c r="H169" s="8"/>
      <c r="I169" s="8"/>
      <c r="J169" s="8"/>
      <c r="K169" s="8"/>
      <c r="L169" s="15"/>
    </row>
    <row r="170" spans="4:12" x14ac:dyDescent="0.3">
      <c r="D170" s="8"/>
      <c r="E170" s="8"/>
      <c r="F170" s="8"/>
      <c r="G170" s="8"/>
      <c r="H170" s="8"/>
      <c r="I170" s="8"/>
      <c r="J170" s="8"/>
      <c r="K170" s="8"/>
      <c r="L170" s="15"/>
    </row>
    <row r="171" spans="4:12" x14ac:dyDescent="0.3">
      <c r="D171" s="8"/>
      <c r="E171" s="8"/>
      <c r="F171" s="8"/>
      <c r="G171" s="8"/>
      <c r="H171" s="8"/>
      <c r="I171" s="8"/>
      <c r="J171" s="8"/>
      <c r="K171" s="8"/>
      <c r="L171" s="15"/>
    </row>
    <row r="172" spans="4:12" x14ac:dyDescent="0.3">
      <c r="D172" s="8"/>
      <c r="E172" s="8"/>
      <c r="F172" s="8"/>
      <c r="G172" s="8"/>
      <c r="H172" s="8"/>
      <c r="I172" s="8"/>
      <c r="J172" s="8"/>
      <c r="K172" s="8"/>
      <c r="L172" s="15"/>
    </row>
    <row r="173" spans="4:12" x14ac:dyDescent="0.3">
      <c r="D173" s="11"/>
      <c r="E173" s="11"/>
      <c r="F173" s="11"/>
      <c r="G173" s="11"/>
      <c r="H173" s="11"/>
      <c r="I173" s="11"/>
      <c r="J173" s="11"/>
      <c r="K173" s="8"/>
      <c r="L173" s="15"/>
    </row>
    <row r="174" spans="4:12" x14ac:dyDescent="0.3">
      <c r="D174" s="11"/>
      <c r="E174" s="11"/>
      <c r="F174" s="11"/>
      <c r="G174" s="11"/>
      <c r="H174" s="11"/>
      <c r="I174" s="11"/>
      <c r="J174" s="11"/>
      <c r="K174" s="8"/>
      <c r="L174" s="15"/>
    </row>
    <row r="175" spans="4:12" x14ac:dyDescent="0.3">
      <c r="D175" s="11"/>
      <c r="E175" s="11"/>
      <c r="F175" s="11"/>
      <c r="G175" s="11"/>
      <c r="H175" s="11"/>
      <c r="I175" s="11"/>
      <c r="J175" s="11"/>
      <c r="K175" s="8"/>
      <c r="L175" s="15"/>
    </row>
    <row r="176" spans="4:12" x14ac:dyDescent="0.3">
      <c r="D176" s="11"/>
      <c r="E176" s="11"/>
      <c r="F176" s="11"/>
      <c r="G176" s="11"/>
      <c r="H176" s="11"/>
      <c r="I176" s="11"/>
      <c r="J176" s="11"/>
      <c r="K176" s="8"/>
      <c r="L176" s="15"/>
    </row>
    <row r="177" spans="2:12" x14ac:dyDescent="0.3">
      <c r="D177" s="11"/>
      <c r="E177" s="11"/>
      <c r="F177" s="11"/>
      <c r="G177" s="11"/>
      <c r="H177" s="11"/>
      <c r="I177" s="11"/>
      <c r="J177" s="11"/>
      <c r="K177" s="8"/>
      <c r="L177" s="15"/>
    </row>
    <row r="178" spans="2:12" x14ac:dyDescent="0.3">
      <c r="D178" s="11"/>
      <c r="E178" s="11"/>
      <c r="F178" s="11"/>
      <c r="G178" s="11"/>
      <c r="H178" s="11"/>
      <c r="I178" s="11"/>
      <c r="J178" s="11"/>
      <c r="K178" s="8"/>
      <c r="L178" s="15"/>
    </row>
    <row r="179" spans="2:12" x14ac:dyDescent="0.3">
      <c r="D179" s="8"/>
      <c r="E179" s="8"/>
      <c r="F179" s="8"/>
      <c r="G179" s="8"/>
      <c r="H179" s="8"/>
      <c r="I179" s="8"/>
      <c r="J179" s="8"/>
      <c r="K179" s="8"/>
      <c r="L179" s="15"/>
    </row>
    <row r="180" spans="2:12" x14ac:dyDescent="0.3">
      <c r="D180" s="8"/>
      <c r="E180" s="8"/>
      <c r="F180" s="8"/>
      <c r="G180" s="8"/>
      <c r="H180" s="8"/>
      <c r="I180" s="8"/>
      <c r="J180" s="8"/>
      <c r="K180" s="8"/>
      <c r="L180" s="15"/>
    </row>
    <row r="181" spans="2:12" x14ac:dyDescent="0.3">
      <c r="D181" s="8"/>
      <c r="E181" s="8"/>
      <c r="F181" s="8"/>
      <c r="G181" s="8"/>
      <c r="H181" s="8"/>
      <c r="I181" s="8"/>
      <c r="J181" s="8"/>
      <c r="K181" s="8"/>
      <c r="L181" s="15"/>
    </row>
    <row r="182" spans="2:12" x14ac:dyDescent="0.3">
      <c r="B182" s="16"/>
      <c r="C182" s="16"/>
      <c r="D182" s="17"/>
      <c r="E182" s="17"/>
      <c r="F182" s="17"/>
      <c r="G182" s="17"/>
      <c r="H182" s="17"/>
      <c r="I182" s="17"/>
      <c r="J182" s="17"/>
      <c r="K182" s="17"/>
      <c r="L182" s="15"/>
    </row>
    <row r="183" spans="2:12" x14ac:dyDescent="0.3">
      <c r="B183" s="16"/>
      <c r="C183" s="16"/>
      <c r="D183" s="17"/>
      <c r="E183" s="17"/>
      <c r="F183" s="17"/>
      <c r="G183" s="17"/>
      <c r="H183" s="17"/>
      <c r="I183" s="17"/>
      <c r="J183" s="17"/>
      <c r="K183" s="17"/>
      <c r="L183" s="15"/>
    </row>
    <row r="184" spans="2:12" ht="24.75" x14ac:dyDescent="0.45">
      <c r="B184" s="16"/>
      <c r="C184" s="27" t="s">
        <v>67</v>
      </c>
      <c r="D184" s="17"/>
      <c r="E184" s="17"/>
      <c r="F184" s="17"/>
      <c r="G184" s="17"/>
      <c r="H184" s="17"/>
      <c r="I184" s="17"/>
      <c r="J184" s="17"/>
      <c r="K184" s="17"/>
      <c r="L184" s="15"/>
    </row>
    <row r="185" spans="2:12" ht="12" customHeight="1" x14ac:dyDescent="0.45">
      <c r="B185" s="16"/>
      <c r="C185" s="27"/>
      <c r="D185" s="17"/>
      <c r="E185" s="17"/>
      <c r="F185" s="17"/>
      <c r="G185" s="17"/>
      <c r="H185" s="17"/>
      <c r="I185" s="17"/>
      <c r="J185" s="17"/>
      <c r="K185" s="17"/>
      <c r="L185" s="15"/>
    </row>
    <row r="186" spans="2:12" ht="27.75" customHeight="1" x14ac:dyDescent="0.35">
      <c r="B186" s="16"/>
      <c r="C186" s="28" t="s">
        <v>68</v>
      </c>
      <c r="D186" s="17"/>
      <c r="E186" s="17"/>
      <c r="F186" s="17"/>
      <c r="G186" s="17"/>
      <c r="H186" s="17"/>
      <c r="I186" s="17"/>
      <c r="J186" s="17"/>
      <c r="K186" s="17"/>
      <c r="L186" s="15"/>
    </row>
    <row r="187" spans="2:12" x14ac:dyDescent="0.3">
      <c r="B187" s="16"/>
      <c r="C187" s="20" t="s">
        <v>69</v>
      </c>
      <c r="D187" s="21">
        <v>664</v>
      </c>
      <c r="E187" s="17"/>
      <c r="F187" s="17"/>
      <c r="G187" s="17"/>
      <c r="H187" s="17"/>
      <c r="I187" s="17"/>
      <c r="J187" s="17"/>
      <c r="K187" s="17"/>
      <c r="L187" s="15"/>
    </row>
    <row r="188" spans="2:12" x14ac:dyDescent="0.3">
      <c r="B188" s="16"/>
      <c r="C188" s="20" t="s">
        <v>70</v>
      </c>
      <c r="D188" s="21">
        <v>-660</v>
      </c>
      <c r="E188" s="17"/>
      <c r="F188" s="17"/>
      <c r="G188" s="17"/>
      <c r="H188" s="17"/>
      <c r="I188" s="17"/>
      <c r="J188" s="17"/>
      <c r="K188" s="17"/>
      <c r="L188" s="15"/>
    </row>
    <row r="189" spans="2:12" x14ac:dyDescent="0.3">
      <c r="B189" s="16"/>
      <c r="C189" s="20" t="s">
        <v>71</v>
      </c>
      <c r="D189" s="21">
        <v>319</v>
      </c>
      <c r="E189" s="17"/>
      <c r="F189" s="17"/>
      <c r="G189" s="17"/>
      <c r="H189" s="17"/>
      <c r="I189" s="17"/>
      <c r="J189" s="17"/>
      <c r="K189" s="17"/>
      <c r="L189" s="15"/>
    </row>
    <row r="190" spans="2:12" x14ac:dyDescent="0.3">
      <c r="B190" s="16"/>
      <c r="C190" s="20" t="s">
        <v>72</v>
      </c>
      <c r="D190" s="21">
        <v>-319</v>
      </c>
      <c r="E190" s="17"/>
      <c r="F190" s="17"/>
      <c r="G190" s="17"/>
      <c r="H190" s="17"/>
      <c r="I190" s="17"/>
      <c r="J190" s="17"/>
      <c r="K190" s="17"/>
      <c r="L190" s="15"/>
    </row>
    <row r="191" spans="2:12" x14ac:dyDescent="0.3">
      <c r="B191" s="16"/>
      <c r="C191" s="16"/>
      <c r="D191" s="17"/>
      <c r="E191" s="17"/>
      <c r="F191" s="17"/>
      <c r="G191" s="17"/>
      <c r="H191" s="17"/>
      <c r="I191" s="17"/>
      <c r="J191" s="17"/>
      <c r="K191" s="17"/>
      <c r="L191" s="15"/>
    </row>
    <row r="192" spans="2:12" ht="20.25" x14ac:dyDescent="0.35">
      <c r="B192" s="16"/>
      <c r="C192" s="28" t="s">
        <v>73</v>
      </c>
      <c r="D192" s="21"/>
      <c r="E192" s="17"/>
      <c r="F192" s="17"/>
      <c r="G192" s="17"/>
      <c r="H192" s="17"/>
      <c r="I192" s="17"/>
      <c r="J192" s="17"/>
      <c r="K192" s="17"/>
      <c r="L192" s="15"/>
    </row>
    <row r="193" spans="2:12" x14ac:dyDescent="0.3">
      <c r="B193" s="16"/>
      <c r="C193" s="20" t="s">
        <v>74</v>
      </c>
      <c r="D193" s="21">
        <v>377</v>
      </c>
      <c r="E193" s="17"/>
      <c r="F193" s="17"/>
      <c r="G193" s="17"/>
      <c r="H193" s="17"/>
      <c r="I193" s="17"/>
      <c r="J193" s="17"/>
      <c r="K193" s="17"/>
      <c r="L193" s="15"/>
    </row>
    <row r="194" spans="2:12" x14ac:dyDescent="0.3">
      <c r="B194" s="16"/>
      <c r="C194" s="20" t="s">
        <v>75</v>
      </c>
      <c r="D194" s="21">
        <v>374</v>
      </c>
      <c r="E194" s="17"/>
      <c r="F194" s="17"/>
      <c r="G194" s="17"/>
      <c r="H194" s="17"/>
      <c r="I194" s="17"/>
      <c r="J194" s="17"/>
      <c r="K194" s="17"/>
      <c r="L194" s="15"/>
    </row>
    <row r="195" spans="2:12" x14ac:dyDescent="0.3">
      <c r="B195" s="16"/>
      <c r="C195" s="16"/>
      <c r="D195" s="17"/>
      <c r="E195" s="17"/>
      <c r="F195" s="17"/>
      <c r="G195" s="17"/>
      <c r="H195" s="17"/>
      <c r="I195" s="17"/>
      <c r="J195" s="17"/>
      <c r="K195" s="17"/>
      <c r="L195" s="15"/>
    </row>
    <row r="196" spans="2:12" ht="20.25" x14ac:dyDescent="0.35">
      <c r="B196" s="16"/>
      <c r="C196" s="28" t="s">
        <v>76</v>
      </c>
      <c r="D196" s="17"/>
      <c r="E196" s="17"/>
      <c r="F196" s="17"/>
      <c r="G196" s="17"/>
      <c r="H196" s="17"/>
      <c r="I196" s="17"/>
      <c r="J196" s="17"/>
      <c r="K196" s="17"/>
      <c r="L196" s="15"/>
    </row>
    <row r="197" spans="2:12" x14ac:dyDescent="0.3">
      <c r="B197" s="16"/>
      <c r="C197" s="20" t="s">
        <v>77</v>
      </c>
      <c r="D197" s="21">
        <v>10</v>
      </c>
      <c r="E197" s="17"/>
      <c r="F197" s="17"/>
      <c r="G197" s="17"/>
      <c r="H197" s="17"/>
      <c r="I197" s="17"/>
      <c r="J197" s="17"/>
      <c r="K197" s="17"/>
      <c r="L197" s="15"/>
    </row>
    <row r="198" spans="2:12" x14ac:dyDescent="0.3">
      <c r="B198" s="16"/>
      <c r="C198" s="20" t="s">
        <v>78</v>
      </c>
      <c r="D198" s="21">
        <v>243</v>
      </c>
      <c r="E198" s="17"/>
      <c r="F198" s="17"/>
      <c r="G198" s="17"/>
      <c r="H198" s="17"/>
      <c r="I198" s="17"/>
      <c r="J198" s="17"/>
      <c r="K198" s="17"/>
      <c r="L198" s="15"/>
    </row>
    <row r="199" spans="2:12" x14ac:dyDescent="0.3">
      <c r="B199" s="16"/>
      <c r="C199" s="20" t="s">
        <v>79</v>
      </c>
      <c r="D199" s="21">
        <v>442</v>
      </c>
      <c r="E199" s="17"/>
      <c r="F199" s="17"/>
      <c r="G199" s="17"/>
      <c r="H199" s="17"/>
      <c r="I199" s="17"/>
      <c r="J199" s="17"/>
      <c r="K199" s="17"/>
      <c r="L199" s="15"/>
    </row>
    <row r="200" spans="2:12" x14ac:dyDescent="0.3">
      <c r="B200" s="16"/>
      <c r="C200" s="16"/>
      <c r="D200" s="17"/>
      <c r="E200" s="17"/>
      <c r="F200" s="17"/>
      <c r="G200" s="17"/>
      <c r="H200" s="17"/>
      <c r="I200" s="17"/>
      <c r="J200" s="17"/>
      <c r="K200" s="17"/>
      <c r="L200" s="15"/>
    </row>
    <row r="201" spans="2:12" ht="20.25" x14ac:dyDescent="0.35">
      <c r="B201" s="16"/>
      <c r="C201" s="28" t="s">
        <v>80</v>
      </c>
      <c r="D201" s="21"/>
      <c r="E201" s="17"/>
      <c r="F201" s="17"/>
      <c r="G201" s="17"/>
      <c r="H201" s="17"/>
      <c r="I201" s="17"/>
      <c r="J201" s="17"/>
      <c r="K201" s="17"/>
      <c r="L201" s="15"/>
    </row>
    <row r="202" spans="2:12" x14ac:dyDescent="0.3">
      <c r="B202" s="16"/>
      <c r="C202" s="20" t="s">
        <v>81</v>
      </c>
      <c r="D202" s="21">
        <v>316</v>
      </c>
      <c r="E202" s="17"/>
      <c r="F202" s="17"/>
      <c r="G202" s="17"/>
      <c r="H202" s="17"/>
      <c r="I202" s="17"/>
      <c r="J202" s="17"/>
      <c r="K202" s="17"/>
      <c r="L202" s="15"/>
    </row>
    <row r="203" spans="2:12" x14ac:dyDescent="0.3">
      <c r="B203" s="16"/>
      <c r="C203" s="20"/>
      <c r="D203" s="21"/>
      <c r="E203" s="17"/>
      <c r="F203" s="17"/>
      <c r="G203" s="17"/>
      <c r="H203" s="17"/>
      <c r="I203" s="17"/>
      <c r="J203" s="17"/>
      <c r="K203" s="17"/>
      <c r="L203" s="15"/>
    </row>
    <row r="204" spans="2:12" ht="20.25" x14ac:dyDescent="0.35">
      <c r="B204" s="16"/>
      <c r="C204" s="28" t="s">
        <v>82</v>
      </c>
      <c r="D204" s="21"/>
      <c r="E204" s="17"/>
      <c r="F204" s="17"/>
      <c r="G204" s="17"/>
      <c r="H204" s="17"/>
      <c r="I204" s="17"/>
      <c r="J204" s="17"/>
      <c r="K204" s="17"/>
      <c r="L204" s="15"/>
    </row>
    <row r="205" spans="2:12" x14ac:dyDescent="0.3">
      <c r="B205" s="16"/>
      <c r="C205" s="20" t="s">
        <v>83</v>
      </c>
      <c r="D205" s="21">
        <v>183</v>
      </c>
      <c r="E205" s="17"/>
      <c r="F205" s="17"/>
      <c r="G205" s="17"/>
      <c r="H205" s="17"/>
      <c r="I205" s="17"/>
      <c r="J205" s="17"/>
      <c r="K205" s="17"/>
      <c r="L205" s="15"/>
    </row>
    <row r="206" spans="2:12" x14ac:dyDescent="0.3">
      <c r="B206" s="16"/>
      <c r="C206" s="20"/>
      <c r="D206" s="21"/>
      <c r="E206" s="17"/>
      <c r="F206" s="17"/>
      <c r="G206" s="17"/>
      <c r="H206" s="17"/>
      <c r="I206" s="17"/>
      <c r="J206" s="17"/>
      <c r="K206" s="17"/>
      <c r="L206" s="15"/>
    </row>
    <row r="207" spans="2:12" ht="20.25" x14ac:dyDescent="0.35">
      <c r="B207" s="16"/>
      <c r="C207" s="28" t="s">
        <v>84</v>
      </c>
      <c r="D207" s="21"/>
      <c r="E207" s="17"/>
      <c r="F207" s="17"/>
      <c r="G207" s="17"/>
      <c r="H207" s="17"/>
      <c r="I207" s="17"/>
      <c r="J207" s="17"/>
      <c r="K207" s="17"/>
      <c r="L207" s="15"/>
    </row>
    <row r="208" spans="2:12" x14ac:dyDescent="0.3">
      <c r="B208" s="16"/>
      <c r="C208" s="20" t="s">
        <v>85</v>
      </c>
      <c r="D208" s="21">
        <v>132</v>
      </c>
      <c r="E208" s="17"/>
      <c r="F208" s="17"/>
      <c r="G208" s="17"/>
      <c r="H208" s="17"/>
      <c r="I208" s="17"/>
      <c r="J208" s="17"/>
      <c r="K208" s="17"/>
      <c r="L208" s="15"/>
    </row>
    <row r="209" spans="2:12" x14ac:dyDescent="0.3">
      <c r="B209" s="16"/>
      <c r="C209" s="20"/>
      <c r="D209" s="21"/>
      <c r="E209" s="17"/>
      <c r="F209" s="17"/>
      <c r="G209" s="17"/>
      <c r="H209" s="17"/>
      <c r="I209" s="17"/>
      <c r="J209" s="17"/>
      <c r="K209" s="17"/>
      <c r="L209" s="15"/>
    </row>
    <row r="210" spans="2:12" ht="20.25" x14ac:dyDescent="0.35">
      <c r="B210" s="16"/>
      <c r="C210" s="28" t="s">
        <v>86</v>
      </c>
      <c r="D210" s="17"/>
      <c r="E210" s="17"/>
      <c r="F210" s="17"/>
      <c r="G210" s="17"/>
      <c r="H210" s="17"/>
      <c r="I210" s="17"/>
      <c r="J210" s="17"/>
      <c r="K210" s="17"/>
      <c r="L210" s="15"/>
    </row>
    <row r="211" spans="2:12" x14ac:dyDescent="0.3">
      <c r="B211" s="16"/>
      <c r="C211" s="20" t="s">
        <v>87</v>
      </c>
      <c r="D211" s="21">
        <v>33</v>
      </c>
      <c r="E211" s="17"/>
      <c r="F211" s="17"/>
      <c r="G211" s="17"/>
      <c r="H211" s="17"/>
      <c r="I211" s="17"/>
      <c r="J211" s="17"/>
      <c r="K211" s="17"/>
      <c r="L211" s="15"/>
    </row>
    <row r="212" spans="2:12" x14ac:dyDescent="0.3">
      <c r="B212" s="16"/>
      <c r="C212" s="20" t="s">
        <v>88</v>
      </c>
      <c r="D212" s="21">
        <v>-33</v>
      </c>
      <c r="E212" s="17"/>
      <c r="F212" s="17"/>
      <c r="G212" s="17"/>
      <c r="H212" s="17"/>
      <c r="I212" s="17"/>
      <c r="J212" s="17"/>
      <c r="K212" s="17"/>
      <c r="L212" s="15"/>
    </row>
    <row r="213" spans="2:12" x14ac:dyDescent="0.3">
      <c r="B213" s="16"/>
      <c r="C213" s="16"/>
      <c r="D213" s="17"/>
      <c r="E213" s="17"/>
      <c r="F213" s="17"/>
      <c r="G213" s="17"/>
      <c r="H213" s="17"/>
      <c r="I213" s="17"/>
      <c r="J213" s="17"/>
      <c r="K213" s="17"/>
      <c r="L213" s="15"/>
    </row>
    <row r="214" spans="2:12" ht="20.25" x14ac:dyDescent="0.35">
      <c r="B214" s="16"/>
      <c r="C214" s="28" t="s">
        <v>89</v>
      </c>
      <c r="D214" s="21"/>
      <c r="E214" s="17"/>
      <c r="F214" s="17"/>
      <c r="G214" s="17"/>
      <c r="H214" s="17"/>
      <c r="I214" s="17"/>
      <c r="J214" s="17"/>
      <c r="K214" s="17"/>
      <c r="L214" s="15"/>
    </row>
    <row r="215" spans="2:12" x14ac:dyDescent="0.3">
      <c r="B215" s="16"/>
      <c r="C215" s="20" t="s">
        <v>90</v>
      </c>
      <c r="D215" s="31">
        <v>13.73</v>
      </c>
      <c r="E215" s="17"/>
      <c r="F215" s="17"/>
      <c r="G215" s="17"/>
      <c r="H215" s="17"/>
      <c r="I215" s="17"/>
      <c r="J215" s="17"/>
      <c r="K215" s="17"/>
      <c r="L215" s="15"/>
    </row>
    <row r="216" spans="2:12" x14ac:dyDescent="0.3">
      <c r="B216" s="16"/>
      <c r="C216" s="20" t="s">
        <v>91</v>
      </c>
      <c r="D216" s="31">
        <v>1.33</v>
      </c>
      <c r="E216" s="17"/>
      <c r="F216" s="17"/>
      <c r="G216" s="17"/>
      <c r="H216" s="17"/>
      <c r="I216" s="17"/>
      <c r="J216" s="17"/>
      <c r="K216" s="17"/>
      <c r="L216" s="15"/>
    </row>
    <row r="217" spans="2:12" x14ac:dyDescent="0.3">
      <c r="B217" s="16"/>
      <c r="C217" s="20" t="s">
        <v>92</v>
      </c>
      <c r="D217" s="31">
        <v>2.9</v>
      </c>
      <c r="E217" s="17"/>
      <c r="F217" s="17"/>
      <c r="G217" s="17"/>
      <c r="H217" s="17"/>
      <c r="I217" s="17"/>
      <c r="J217" s="17"/>
      <c r="K217" s="17"/>
      <c r="L217" s="15"/>
    </row>
    <row r="218" spans="2:12" x14ac:dyDescent="0.3">
      <c r="B218" s="16"/>
      <c r="C218" s="20" t="s">
        <v>93</v>
      </c>
      <c r="D218" s="31">
        <v>2.98</v>
      </c>
      <c r="E218" s="17"/>
      <c r="F218" s="17"/>
      <c r="G218" s="17"/>
      <c r="H218" s="17"/>
      <c r="I218" s="17"/>
      <c r="J218" s="17"/>
      <c r="K218" s="17"/>
      <c r="L218" s="15"/>
    </row>
    <row r="219" spans="2:12" x14ac:dyDescent="0.3">
      <c r="B219" s="16"/>
      <c r="C219" s="20" t="s">
        <v>94</v>
      </c>
      <c r="D219" s="31">
        <v>0.47</v>
      </c>
      <c r="E219" s="17"/>
      <c r="F219" s="17"/>
      <c r="G219" s="17"/>
      <c r="H219" s="17"/>
      <c r="I219" s="17"/>
      <c r="J219" s="17"/>
      <c r="K219" s="17"/>
      <c r="L219" s="15"/>
    </row>
    <row r="220" spans="2:12" x14ac:dyDescent="0.3">
      <c r="B220" s="16"/>
      <c r="C220" s="20" t="s">
        <v>95</v>
      </c>
      <c r="D220" s="31">
        <v>8.2200000000000006</v>
      </c>
      <c r="E220" s="17"/>
      <c r="F220" s="17"/>
      <c r="G220" s="17"/>
      <c r="H220" s="17"/>
      <c r="I220" s="17"/>
      <c r="J220" s="17"/>
      <c r="K220" s="17"/>
      <c r="L220" s="15"/>
    </row>
    <row r="221" spans="2:12" x14ac:dyDescent="0.3">
      <c r="B221" s="16"/>
      <c r="C221" s="20" t="s">
        <v>96</v>
      </c>
      <c r="D221" s="31">
        <v>1.08</v>
      </c>
      <c r="E221" s="17"/>
      <c r="F221" s="17"/>
      <c r="G221" s="17"/>
      <c r="H221" s="17"/>
      <c r="I221" s="17"/>
      <c r="J221" s="17"/>
      <c r="K221" s="17"/>
      <c r="L221" s="15"/>
    </row>
    <row r="222" spans="2:12" x14ac:dyDescent="0.3">
      <c r="B222" s="16"/>
      <c r="C222" s="20" t="s">
        <v>97</v>
      </c>
      <c r="D222" s="31">
        <v>24.01</v>
      </c>
      <c r="E222" s="17"/>
      <c r="F222" s="17"/>
      <c r="G222" s="17"/>
      <c r="H222" s="17"/>
      <c r="I222" s="17"/>
      <c r="J222" s="17"/>
      <c r="K222" s="17"/>
      <c r="L222" s="15"/>
    </row>
    <row r="223" spans="2:12" x14ac:dyDescent="0.3">
      <c r="B223" s="16"/>
      <c r="C223" s="20" t="s">
        <v>98</v>
      </c>
      <c r="D223" s="31">
        <v>5.07</v>
      </c>
      <c r="E223" s="17"/>
      <c r="F223" s="17"/>
      <c r="G223" s="17"/>
      <c r="H223" s="17"/>
      <c r="I223" s="17"/>
      <c r="J223" s="17"/>
      <c r="K223" s="17"/>
      <c r="L223" s="15"/>
    </row>
    <row r="224" spans="2:12" x14ac:dyDescent="0.3">
      <c r="B224" s="16"/>
      <c r="C224" s="20" t="s">
        <v>99</v>
      </c>
      <c r="D224" s="31">
        <v>2.64</v>
      </c>
      <c r="E224" s="17"/>
      <c r="F224" s="17"/>
      <c r="G224" s="17"/>
      <c r="H224" s="17"/>
      <c r="I224" s="17"/>
      <c r="J224" s="17"/>
      <c r="K224" s="17"/>
      <c r="L224" s="15"/>
    </row>
    <row r="225" spans="2:12" x14ac:dyDescent="0.3">
      <c r="B225" s="16"/>
      <c r="C225" s="20"/>
      <c r="D225" s="21"/>
      <c r="E225" s="17"/>
      <c r="F225" s="17"/>
      <c r="G225" s="17"/>
      <c r="H225" s="17"/>
      <c r="I225" s="17"/>
      <c r="J225" s="17"/>
      <c r="K225" s="17"/>
      <c r="L225" s="15"/>
    </row>
    <row r="226" spans="2:12" ht="20.25" x14ac:dyDescent="0.35">
      <c r="B226" s="16"/>
      <c r="C226" s="28" t="s">
        <v>100</v>
      </c>
      <c r="D226" s="21"/>
      <c r="E226" s="17"/>
      <c r="F226" s="17"/>
      <c r="G226" s="17"/>
      <c r="H226" s="17"/>
      <c r="I226" s="17"/>
      <c r="J226" s="17"/>
      <c r="K226" s="17"/>
      <c r="L226" s="15"/>
    </row>
    <row r="227" spans="2:12" x14ac:dyDescent="0.3">
      <c r="B227" s="16"/>
      <c r="C227" s="20" t="s">
        <v>101</v>
      </c>
      <c r="D227" s="21">
        <v>3915</v>
      </c>
      <c r="E227" s="17"/>
      <c r="F227" s="17"/>
      <c r="G227" s="17"/>
      <c r="H227" s="17"/>
      <c r="I227" s="17"/>
      <c r="J227" s="17"/>
      <c r="K227" s="17"/>
      <c r="L227" s="15"/>
    </row>
    <row r="228" spans="2:12" x14ac:dyDescent="0.3">
      <c r="B228" s="16"/>
      <c r="C228" s="20"/>
      <c r="D228" s="21"/>
      <c r="E228" s="17"/>
      <c r="F228" s="17"/>
      <c r="G228" s="17"/>
      <c r="H228" s="17"/>
      <c r="I228" s="17"/>
      <c r="J228" s="17"/>
      <c r="K228" s="17"/>
      <c r="L228" s="15"/>
    </row>
    <row r="229" spans="2:12" ht="20.25" x14ac:dyDescent="0.35">
      <c r="B229" s="16"/>
      <c r="C229" s="28" t="s">
        <v>102</v>
      </c>
      <c r="D229" s="21"/>
      <c r="E229" s="17"/>
      <c r="F229" s="17"/>
      <c r="G229" s="17"/>
      <c r="H229" s="17"/>
      <c r="I229" s="17"/>
      <c r="J229" s="17"/>
      <c r="K229" s="17"/>
      <c r="L229" s="15"/>
    </row>
    <row r="230" spans="2:12" x14ac:dyDescent="0.3">
      <c r="B230" s="16"/>
      <c r="C230" s="20" t="s">
        <v>103</v>
      </c>
      <c r="D230" s="21">
        <v>181</v>
      </c>
      <c r="E230" s="17"/>
      <c r="F230" s="17"/>
      <c r="G230" s="17"/>
      <c r="H230" s="17"/>
      <c r="I230" s="17"/>
      <c r="J230" s="17"/>
      <c r="K230" s="17"/>
      <c r="L230" s="15"/>
    </row>
    <row r="231" spans="2:12" x14ac:dyDescent="0.3">
      <c r="B231" s="16"/>
      <c r="C231" s="20"/>
      <c r="D231" s="21"/>
      <c r="E231" s="17"/>
      <c r="F231" s="17"/>
      <c r="G231" s="17"/>
      <c r="H231" s="17"/>
      <c r="I231" s="17"/>
      <c r="J231" s="17"/>
      <c r="K231" s="17"/>
      <c r="L231" s="15"/>
    </row>
    <row r="232" spans="2:12" x14ac:dyDescent="0.3">
      <c r="B232" s="16"/>
      <c r="C232" s="42" t="s">
        <v>104</v>
      </c>
      <c r="D232" s="21"/>
      <c r="E232" s="17"/>
      <c r="F232" s="17"/>
      <c r="G232" s="17"/>
      <c r="H232" s="17"/>
      <c r="I232" s="17"/>
      <c r="J232" s="17"/>
      <c r="K232" s="17"/>
      <c r="L232" s="15"/>
    </row>
    <row r="233" spans="2:12" x14ac:dyDescent="0.3">
      <c r="B233" s="16"/>
      <c r="C233" s="42" t="s">
        <v>105</v>
      </c>
      <c r="D233" s="17"/>
      <c r="E233" s="17"/>
      <c r="F233" s="17"/>
      <c r="G233" s="17"/>
      <c r="H233" s="17"/>
      <c r="I233" s="17"/>
      <c r="J233" s="17"/>
      <c r="K233" s="17"/>
      <c r="L233" s="15"/>
    </row>
    <row r="234" spans="2:12" x14ac:dyDescent="0.3">
      <c r="B234" s="16"/>
      <c r="C234" s="42" t="s">
        <v>106</v>
      </c>
      <c r="D234" s="17"/>
      <c r="E234" s="17"/>
      <c r="F234" s="17"/>
      <c r="G234" s="17"/>
      <c r="H234" s="17"/>
      <c r="I234" s="17"/>
      <c r="J234" s="17"/>
      <c r="K234" s="17"/>
      <c r="L234" s="15"/>
    </row>
    <row r="235" spans="2:12" x14ac:dyDescent="0.3">
      <c r="B235" s="16"/>
      <c r="C235" s="30" t="s">
        <v>107</v>
      </c>
      <c r="D235" s="17"/>
      <c r="E235" s="17"/>
      <c r="F235" s="17"/>
      <c r="G235" s="17"/>
      <c r="H235" s="17"/>
      <c r="I235" s="17"/>
      <c r="J235" s="17"/>
      <c r="K235" s="17"/>
      <c r="L235" s="15"/>
    </row>
    <row r="236" spans="2:12" x14ac:dyDescent="0.3">
      <c r="B236" s="16"/>
      <c r="C236" s="30" t="s">
        <v>108</v>
      </c>
      <c r="D236" s="17"/>
      <c r="E236" s="17"/>
      <c r="F236" s="17"/>
      <c r="G236" s="17"/>
      <c r="H236" s="17"/>
      <c r="I236" s="17"/>
      <c r="J236" s="17"/>
      <c r="K236" s="17"/>
      <c r="L236" s="15"/>
    </row>
    <row r="237" spans="2:12" x14ac:dyDescent="0.3">
      <c r="B237" s="16"/>
      <c r="C237" s="30" t="s">
        <v>109</v>
      </c>
      <c r="D237" s="17"/>
      <c r="E237" s="17"/>
      <c r="F237" s="17"/>
      <c r="G237" s="17"/>
      <c r="H237" s="17"/>
      <c r="I237" s="17"/>
      <c r="J237" s="17"/>
      <c r="K237" s="17"/>
      <c r="L237" s="15"/>
    </row>
    <row r="238" spans="2:12" x14ac:dyDescent="0.3">
      <c r="B238" s="16"/>
      <c r="C238" s="30"/>
      <c r="D238" s="17"/>
      <c r="E238" s="17"/>
      <c r="F238" s="17"/>
      <c r="G238" s="17"/>
      <c r="H238" s="17"/>
      <c r="I238" s="17"/>
      <c r="J238" s="17"/>
      <c r="K238" s="17"/>
      <c r="L238" s="15"/>
    </row>
    <row r="239" spans="2:12" ht="24.75" x14ac:dyDescent="0.45">
      <c r="B239" s="16"/>
      <c r="C239" s="27" t="s">
        <v>110</v>
      </c>
      <c r="D239" s="16"/>
      <c r="E239" s="16"/>
      <c r="F239" s="16"/>
      <c r="G239" s="16"/>
      <c r="H239" s="16"/>
      <c r="I239" s="16"/>
      <c r="J239" s="16"/>
      <c r="K239" s="16"/>
    </row>
    <row r="240" spans="2:12" x14ac:dyDescent="0.3">
      <c r="B240" s="16"/>
      <c r="C240" s="23"/>
      <c r="D240" s="16"/>
      <c r="E240" s="16"/>
      <c r="F240" s="20"/>
      <c r="G240" s="20"/>
      <c r="H240" s="20"/>
      <c r="I240" s="20"/>
      <c r="J240" s="16"/>
      <c r="K240" s="16"/>
    </row>
    <row r="241" spans="2:11" x14ac:dyDescent="0.3">
      <c r="B241" s="16"/>
      <c r="C241" s="20" t="s">
        <v>111</v>
      </c>
      <c r="D241" s="24">
        <v>82098.613037330448</v>
      </c>
      <c r="E241" s="24">
        <v>89374.913363107888</v>
      </c>
      <c r="F241" s="37">
        <f>E241+SUM(F242:F243)</f>
        <v>93805.227818517131</v>
      </c>
      <c r="G241" s="37">
        <f t="shared" ref="G241:I241" si="11">F241+SUM(G242:G243)</f>
        <v>98068.675422868735</v>
      </c>
      <c r="H241" s="37">
        <f t="shared" si="11"/>
        <v>102626.90745652368</v>
      </c>
      <c r="I241" s="37">
        <f t="shared" si="11"/>
        <v>107714.12325914355</v>
      </c>
      <c r="J241" s="40"/>
      <c r="K241" s="16"/>
    </row>
    <row r="242" spans="2:11" x14ac:dyDescent="0.3">
      <c r="B242" s="16"/>
      <c r="C242" s="20" t="s">
        <v>112</v>
      </c>
      <c r="D242" s="24"/>
      <c r="E242" s="24"/>
      <c r="F242" s="40">
        <f>E241*((1+F327%)*(1+HLOOKUP(F$8,Controls,MATCH($C$283,ControlsVariable,0)+MATCH($C$20,$C$276:$C$3223,0),FALSE)%)-1)</f>
        <v>4430.3144554092487</v>
      </c>
      <c r="G242" s="40">
        <f>F241*((1+G327%)*(1+HLOOKUP(G$8,Controls,MATCH($C$283,ControlsVariable,0)+MATCH($C$20,$C$276:$C$3223,0),FALSE)%)-1)</f>
        <v>4263.4476043516024</v>
      </c>
      <c r="H242" s="40">
        <f>G241*((1+H327%)*(1+HLOOKUP(H$8,Controls,MATCH($C$283,ControlsVariable,0)+MATCH($C$20,$C$276:$C$3223,0),FALSE)%)-1)</f>
        <v>4558.2320336549465</v>
      </c>
      <c r="I242" s="40">
        <f>H241*((1+I327%)*(1+HLOOKUP(I$8,Controls,MATCH($C$283,ControlsVariable,0)+MATCH($C$20,$C$276:$C$3223,0),FALSE)%)-1)</f>
        <v>5087.2158026198676</v>
      </c>
      <c r="J242" s="40"/>
      <c r="K242" s="16"/>
    </row>
    <row r="243" spans="2:11" x14ac:dyDescent="0.3">
      <c r="B243" s="16"/>
      <c r="C243" s="20"/>
      <c r="D243" s="24"/>
      <c r="E243" s="24"/>
      <c r="F243" s="40"/>
      <c r="G243" s="40"/>
      <c r="H243" s="40"/>
      <c r="I243" s="40"/>
      <c r="J243" s="40"/>
      <c r="K243" s="16"/>
    </row>
    <row r="244" spans="2:11" x14ac:dyDescent="0.3">
      <c r="B244" s="16"/>
      <c r="C244" s="20"/>
      <c r="D244" s="24"/>
      <c r="E244" s="24"/>
      <c r="F244" s="40"/>
      <c r="G244" s="40"/>
      <c r="H244" s="40"/>
      <c r="I244" s="40"/>
      <c r="J244" s="40"/>
      <c r="K244" s="16"/>
    </row>
    <row r="245" spans="2:11" x14ac:dyDescent="0.3">
      <c r="B245" s="16"/>
      <c r="C245" s="20" t="s">
        <v>113</v>
      </c>
      <c r="D245" s="24"/>
      <c r="E245" s="24"/>
      <c r="F245" s="40">
        <f>SUM(F264:F267,F129)</f>
        <v>0</v>
      </c>
      <c r="G245" s="40">
        <f t="shared" ref="G245:I245" si="12">SUM(G264:G267,G129)</f>
        <v>0</v>
      </c>
      <c r="H245" s="40">
        <f t="shared" si="12"/>
        <v>0</v>
      </c>
      <c r="I245" s="40">
        <f t="shared" si="12"/>
        <v>0</v>
      </c>
      <c r="J245" s="40"/>
      <c r="K245" s="16"/>
    </row>
    <row r="246" spans="2:11" x14ac:dyDescent="0.3">
      <c r="B246" s="16"/>
      <c r="C246" s="20"/>
      <c r="D246" s="24"/>
      <c r="E246" s="24"/>
      <c r="F246" s="22"/>
      <c r="G246" s="16"/>
      <c r="H246" s="16"/>
      <c r="I246" s="16"/>
      <c r="J246" s="16"/>
      <c r="K246" s="16"/>
    </row>
    <row r="247" spans="2:11" x14ac:dyDescent="0.3">
      <c r="B247" s="16"/>
      <c r="C247" s="20" t="s">
        <v>114</v>
      </c>
      <c r="D247" s="16"/>
      <c r="E247" s="37"/>
      <c r="F247" s="37">
        <f>F241+F129</f>
        <v>93805.227818517131</v>
      </c>
      <c r="G247" s="37">
        <f>G241+G129</f>
        <v>98068.675422868735</v>
      </c>
      <c r="H247" s="37">
        <f>H241+H129</f>
        <v>102626.90745652368</v>
      </c>
      <c r="I247" s="37">
        <f>I241+I129</f>
        <v>107714.12325914355</v>
      </c>
      <c r="J247" s="37"/>
      <c r="K247" s="16"/>
    </row>
    <row r="248" spans="2:11" x14ac:dyDescent="0.3">
      <c r="B248" s="16"/>
      <c r="C248" s="20"/>
      <c r="D248" s="16"/>
      <c r="E248" s="16"/>
      <c r="F248" s="37"/>
      <c r="G248" s="37"/>
      <c r="H248" s="37"/>
      <c r="I248" s="37"/>
      <c r="J248" s="37"/>
      <c r="K248" s="16"/>
    </row>
    <row r="249" spans="2:11" x14ac:dyDescent="0.3">
      <c r="B249" s="16"/>
      <c r="C249" s="20" t="s">
        <v>115</v>
      </c>
      <c r="D249" s="16"/>
      <c r="E249" s="37">
        <v>3646</v>
      </c>
      <c r="F249" s="37">
        <f>F247-E241+SUM(F264:F267)</f>
        <v>4430.3144554092432</v>
      </c>
      <c r="G249" s="37">
        <f>G247-F241+SUM(G264:G267)</f>
        <v>4263.4476043516042</v>
      </c>
      <c r="H249" s="37">
        <f>H247-G241+SUM(H264:H267)</f>
        <v>4558.2320336549456</v>
      </c>
      <c r="I249" s="37">
        <f>I247-H241+SUM(I264:I267)</f>
        <v>5087.215802619874</v>
      </c>
      <c r="J249" s="37"/>
      <c r="K249" s="16"/>
    </row>
    <row r="250" spans="2:11" x14ac:dyDescent="0.3">
      <c r="B250" s="16"/>
      <c r="C250" s="20"/>
      <c r="D250" s="16"/>
      <c r="E250" s="16"/>
      <c r="F250" s="35"/>
      <c r="G250" s="35"/>
      <c r="H250" s="35"/>
      <c r="I250" s="35"/>
      <c r="J250" s="35"/>
      <c r="K250" s="16"/>
    </row>
    <row r="251" spans="2:11" x14ac:dyDescent="0.3">
      <c r="B251" s="16"/>
      <c r="C251" s="20" t="s">
        <v>116</v>
      </c>
      <c r="D251" s="16"/>
      <c r="E251" s="16"/>
      <c r="F251" s="37">
        <f>SUM(F135:F137)</f>
        <v>4219</v>
      </c>
      <c r="G251" s="37">
        <f>SUM(G135:G137)</f>
        <v>4328</v>
      </c>
      <c r="H251" s="37">
        <f>SUM(H135:H137)</f>
        <v>4459</v>
      </c>
      <c r="I251" s="37">
        <f>SUM(I135:I137)</f>
        <v>4084</v>
      </c>
      <c r="J251" s="37"/>
      <c r="K251" s="16"/>
    </row>
    <row r="252" spans="2:11" x14ac:dyDescent="0.3">
      <c r="B252" s="16"/>
      <c r="C252" s="20"/>
      <c r="D252" s="16"/>
      <c r="E252" s="16"/>
      <c r="F252" s="35"/>
      <c r="G252" s="35"/>
      <c r="H252" s="35"/>
      <c r="I252" s="35"/>
      <c r="J252" s="35"/>
      <c r="K252" s="16"/>
    </row>
    <row r="253" spans="2:11" x14ac:dyDescent="0.3">
      <c r="B253" s="16"/>
      <c r="C253" s="20" t="s">
        <v>117</v>
      </c>
      <c r="D253" s="16"/>
      <c r="E253" s="16"/>
      <c r="F253" s="37" cm="1">
        <f t="array" ref="F253">-SUM(-F261:F262,F268,-F259)</f>
        <v>0</v>
      </c>
      <c r="G253" s="37" cm="1">
        <f t="array" ref="G253">-SUM(-G261:G262,G268,-G259)</f>
        <v>0</v>
      </c>
      <c r="H253" s="37" cm="1">
        <f t="array" ref="H253">-SUM(-H261:H262,H268,-H259)</f>
        <v>0</v>
      </c>
      <c r="I253" s="37" cm="1">
        <f t="array" ref="I253">-SUM(-I261:I262,I268,-I259)</f>
        <v>0</v>
      </c>
      <c r="J253" s="37"/>
      <c r="K253" s="16"/>
    </row>
    <row r="254" spans="2:11" x14ac:dyDescent="0.3">
      <c r="B254" s="16"/>
      <c r="C254" s="20" t="s">
        <v>118</v>
      </c>
      <c r="D254" s="16"/>
      <c r="E254" s="37">
        <v>7294.2503257774379</v>
      </c>
      <c r="F254" s="37">
        <f>F253+F251</f>
        <v>4219</v>
      </c>
      <c r="G254" s="37">
        <f>G253+G251</f>
        <v>4328</v>
      </c>
      <c r="H254" s="37">
        <f>H253+H251</f>
        <v>4459</v>
      </c>
      <c r="I254" s="37">
        <f>I253+I251</f>
        <v>4084</v>
      </c>
      <c r="J254" s="37"/>
      <c r="K254" s="16"/>
    </row>
    <row r="255" spans="2:11" x14ac:dyDescent="0.3">
      <c r="B255" s="16"/>
      <c r="C255" s="20"/>
      <c r="D255" s="16"/>
      <c r="E255" s="16"/>
      <c r="F255" s="37"/>
      <c r="G255" s="37"/>
      <c r="H255" s="37"/>
      <c r="I255" s="37"/>
      <c r="J255" s="37"/>
      <c r="K255" s="16"/>
    </row>
    <row r="256" spans="2:11" x14ac:dyDescent="0.3">
      <c r="B256" s="16"/>
      <c r="C256" s="20" t="s">
        <v>119</v>
      </c>
      <c r="D256" s="24">
        <f>D241</f>
        <v>82098.613037330448</v>
      </c>
      <c r="E256" s="24">
        <f>E241</f>
        <v>89374.913363107888</v>
      </c>
      <c r="F256" s="40">
        <f>F241+SUM($F245:F245)</f>
        <v>93805.227818517131</v>
      </c>
      <c r="G256" s="40">
        <f>G241+SUM($F245:G245)</f>
        <v>98068.675422868735</v>
      </c>
      <c r="H256" s="40">
        <f>H241+SUM($F245:H245)</f>
        <v>102626.90745652368</v>
      </c>
      <c r="I256" s="40">
        <f>I241+SUM($F245:I245)</f>
        <v>107714.12325914355</v>
      </c>
      <c r="J256" s="37"/>
      <c r="K256" s="16"/>
    </row>
    <row r="257" spans="2:11" x14ac:dyDescent="0.3">
      <c r="B257" s="16"/>
      <c r="C257" s="20" t="s">
        <v>120</v>
      </c>
      <c r="D257" s="16"/>
      <c r="E257" s="24">
        <f>E256</f>
        <v>89374.913363107888</v>
      </c>
      <c r="F257" s="37">
        <f>E257+F254-F259</f>
        <v>93593.913363107888</v>
      </c>
      <c r="G257" s="37">
        <f>F257+G254-G259</f>
        <v>97921.913363107888</v>
      </c>
      <c r="H257" s="37">
        <f>G257+H254-H259</f>
        <v>102380.91336310789</v>
      </c>
      <c r="I257" s="37">
        <f>H257+I254-I259</f>
        <v>106464.91336310789</v>
      </c>
      <c r="J257" s="37"/>
      <c r="K257" s="16"/>
    </row>
    <row r="258" spans="2:11" x14ac:dyDescent="0.3">
      <c r="B258" s="16"/>
      <c r="C258" s="20"/>
      <c r="D258" s="16"/>
      <c r="E258" s="16"/>
      <c r="F258" s="16"/>
      <c r="G258" s="16"/>
      <c r="H258" s="16"/>
      <c r="I258" s="16"/>
      <c r="J258" s="16"/>
      <c r="K258" s="16"/>
    </row>
    <row r="259" spans="2:11" x14ac:dyDescent="0.3">
      <c r="B259" s="16"/>
      <c r="C259" s="20" t="s">
        <v>121</v>
      </c>
      <c r="D259" s="16"/>
      <c r="E259" s="16"/>
      <c r="F259" s="35">
        <f>F64</f>
        <v>0</v>
      </c>
      <c r="G259" s="35">
        <f>G64</f>
        <v>0</v>
      </c>
      <c r="H259" s="35">
        <f>H64</f>
        <v>0</v>
      </c>
      <c r="I259" s="35">
        <f>I64</f>
        <v>0</v>
      </c>
      <c r="J259" s="35"/>
      <c r="K259" s="16"/>
    </row>
    <row r="260" spans="2:11" x14ac:dyDescent="0.3">
      <c r="B260" s="16"/>
      <c r="C260" s="20"/>
      <c r="D260" s="16"/>
      <c r="E260" s="16"/>
      <c r="F260" s="35"/>
      <c r="G260" s="35"/>
      <c r="H260" s="35"/>
      <c r="I260" s="35"/>
      <c r="J260" s="35"/>
      <c r="K260" s="16"/>
    </row>
    <row r="261" spans="2:11" x14ac:dyDescent="0.3">
      <c r="B261" s="16"/>
      <c r="C261" s="20" t="s">
        <v>122</v>
      </c>
      <c r="D261" s="16"/>
      <c r="E261" s="16"/>
      <c r="F261" s="35">
        <f t="shared" ref="F261:I262" si="13">F60</f>
        <v>0</v>
      </c>
      <c r="G261" s="35">
        <f t="shared" si="13"/>
        <v>0</v>
      </c>
      <c r="H261" s="35">
        <f t="shared" si="13"/>
        <v>0</v>
      </c>
      <c r="I261" s="35">
        <f t="shared" si="13"/>
        <v>0</v>
      </c>
      <c r="J261" s="35"/>
      <c r="K261" s="16"/>
    </row>
    <row r="262" spans="2:11" x14ac:dyDescent="0.3">
      <c r="B262" s="16"/>
      <c r="C262" s="20" t="s">
        <v>123</v>
      </c>
      <c r="D262" s="16"/>
      <c r="E262" s="16"/>
      <c r="F262" s="35">
        <f t="shared" si="13"/>
        <v>0</v>
      </c>
      <c r="G262" s="35">
        <f t="shared" si="13"/>
        <v>0</v>
      </c>
      <c r="H262" s="35">
        <f t="shared" si="13"/>
        <v>0</v>
      </c>
      <c r="I262" s="35">
        <f t="shared" si="13"/>
        <v>0</v>
      </c>
      <c r="J262" s="35"/>
      <c r="K262" s="16"/>
    </row>
    <row r="263" spans="2:11" x14ac:dyDescent="0.3">
      <c r="B263" s="16"/>
      <c r="C263" s="20"/>
      <c r="D263" s="16"/>
      <c r="E263" s="16"/>
      <c r="F263" s="35"/>
      <c r="G263" s="35"/>
      <c r="H263" s="35"/>
      <c r="I263" s="35"/>
      <c r="J263" s="35"/>
      <c r="K263" s="16"/>
    </row>
    <row r="264" spans="2:11" x14ac:dyDescent="0.3">
      <c r="B264" s="16"/>
      <c r="C264" s="20" t="s">
        <v>124</v>
      </c>
      <c r="D264" s="16"/>
      <c r="E264" s="16"/>
      <c r="F264" s="35">
        <f>IF(F62&gt;0,F62,0)</f>
        <v>0</v>
      </c>
      <c r="G264" s="35">
        <f>IF(G62&gt;0,G62,0)</f>
        <v>0</v>
      </c>
      <c r="H264" s="35">
        <f>IF(H62&gt;0,H62,0)</f>
        <v>0</v>
      </c>
      <c r="I264" s="35">
        <f>IF(I62&gt;0,I62,0)</f>
        <v>0</v>
      </c>
      <c r="J264" s="35"/>
      <c r="K264" s="16"/>
    </row>
    <row r="265" spans="2:11" x14ac:dyDescent="0.3">
      <c r="B265" s="16"/>
      <c r="C265" s="20" t="s">
        <v>125</v>
      </c>
      <c r="D265" s="16"/>
      <c r="E265" s="16"/>
      <c r="F265" s="16"/>
      <c r="G265" s="40">
        <f>$F$264*((1+G327%)*(1+HLOOKUP(G$8,Controls,MATCH($C$283,ControlsVariable,0)+MATCH($C$20,$C$276:$C$3223,0))%)-1)</f>
        <v>0</v>
      </c>
      <c r="H265" s="40">
        <f>$F$264*((1+H327%)*(1+HLOOKUP(H$8,Controls,MATCH($C$283,ControlsVariable,0)+MATCH($C$20,$C$276:$C$3223,0))%)-1)</f>
        <v>0</v>
      </c>
      <c r="I265" s="40">
        <f>$F$264*((1+I327%)*(1+HLOOKUP(I$8,Controls,MATCH($C$283,ControlsVariable,0)+MATCH($C$20,$C$276:$C$3223,0))%)-1)</f>
        <v>0</v>
      </c>
      <c r="J265" s="40"/>
      <c r="K265" s="16"/>
    </row>
    <row r="266" spans="2:11" x14ac:dyDescent="0.3">
      <c r="B266" s="16"/>
      <c r="C266" s="20" t="s">
        <v>126</v>
      </c>
      <c r="D266" s="16"/>
      <c r="E266" s="16"/>
      <c r="F266" s="16"/>
      <c r="G266" s="41"/>
      <c r="H266" s="40">
        <f>$G$264*((1+H327%)*(1+HLOOKUP(H$8,Controls,MATCH($C$283,ControlsVariable,0)+MATCH($C$20,$C$276:$C$3223,0))%)-1)</f>
        <v>0</v>
      </c>
      <c r="I266" s="40">
        <f>$G$264*((1+I327%)*(1+HLOOKUP(I$8,Controls,MATCH($C$283,ControlsVariable,0)+MATCH($C$20,$C$276:$C$3223,0))%)-1)</f>
        <v>0</v>
      </c>
      <c r="J266" s="40"/>
      <c r="K266" s="16"/>
    </row>
    <row r="267" spans="2:11" x14ac:dyDescent="0.3">
      <c r="B267" s="16"/>
      <c r="C267" s="20" t="s">
        <v>127</v>
      </c>
      <c r="D267" s="16"/>
      <c r="E267" s="16"/>
      <c r="F267" s="16"/>
      <c r="G267" s="41"/>
      <c r="H267" s="41"/>
      <c r="I267" s="40">
        <f>$H$264*((1+I327%)*(1+HLOOKUP(I$8,Controls,MATCH($C$283,ControlsVariable,0)+MATCH($C$20,$C$276:$C$3223,0))%)-1)</f>
        <v>0</v>
      </c>
      <c r="J267" s="40"/>
      <c r="K267" s="16"/>
    </row>
    <row r="268" spans="2:11" x14ac:dyDescent="0.3">
      <c r="B268" s="16"/>
      <c r="C268" s="20" t="s">
        <v>128</v>
      </c>
      <c r="D268" s="16"/>
      <c r="E268" s="16"/>
      <c r="F268" s="35">
        <f>IF(F62&lt;=0,F62,0)</f>
        <v>0</v>
      </c>
      <c r="G268" s="35">
        <f>IF(G62&lt;=0,G62,0)</f>
        <v>0</v>
      </c>
      <c r="H268" s="35">
        <f>IF(H62&lt;=0,H62,0)</f>
        <v>0</v>
      </c>
      <c r="I268" s="35">
        <f>IF(I62&lt;=0,I62,0)</f>
        <v>0</v>
      </c>
      <c r="J268" s="35"/>
      <c r="K268" s="16"/>
    </row>
    <row r="269" spans="2:11" x14ac:dyDescent="0.3">
      <c r="B269" s="16"/>
      <c r="C269" s="20"/>
      <c r="D269" s="16"/>
      <c r="E269" s="16"/>
      <c r="F269" s="16"/>
      <c r="G269" s="16"/>
      <c r="H269" s="16"/>
      <c r="I269" s="16"/>
      <c r="J269" s="16"/>
      <c r="K269" s="16"/>
    </row>
    <row r="270" spans="2:11" x14ac:dyDescent="0.3">
      <c r="B270" s="16"/>
      <c r="C270" s="20" t="s">
        <v>129</v>
      </c>
      <c r="D270" s="16"/>
      <c r="E270" s="16"/>
      <c r="F270" s="40">
        <f>F249-F254</f>
        <v>211.31445540924324</v>
      </c>
      <c r="G270" s="40">
        <f>G249-G254</f>
        <v>-64.552395648395759</v>
      </c>
      <c r="H270" s="40">
        <f>H249-H254</f>
        <v>99.232033654945553</v>
      </c>
      <c r="I270" s="40">
        <f>I249-I254</f>
        <v>1003.215802619874</v>
      </c>
      <c r="J270" s="40"/>
      <c r="K270" s="16"/>
    </row>
    <row r="271" spans="2:11" x14ac:dyDescent="0.3">
      <c r="B271" s="16"/>
      <c r="C271" s="20"/>
      <c r="D271" s="16"/>
      <c r="E271" s="16"/>
      <c r="F271" s="19"/>
      <c r="G271" s="19"/>
      <c r="H271" s="19"/>
      <c r="I271" s="19"/>
      <c r="J271" s="19"/>
      <c r="K271" s="16"/>
    </row>
    <row r="272" spans="2:11" x14ac:dyDescent="0.3">
      <c r="B272" s="16"/>
      <c r="C272" s="16"/>
      <c r="D272" s="16"/>
      <c r="E272" s="16"/>
      <c r="F272" s="16"/>
      <c r="G272" s="16"/>
      <c r="H272" s="16"/>
      <c r="I272" s="16"/>
      <c r="J272" s="16"/>
      <c r="K272" s="16"/>
    </row>
    <row r="273" spans="2:11" ht="24.75" x14ac:dyDescent="0.45">
      <c r="B273" s="16"/>
      <c r="C273" s="27" t="s">
        <v>130</v>
      </c>
      <c r="D273" s="49">
        <v>2020</v>
      </c>
      <c r="E273" s="49">
        <v>2021</v>
      </c>
      <c r="F273" s="49">
        <v>2022</v>
      </c>
      <c r="G273" s="49">
        <v>2023</v>
      </c>
      <c r="H273" s="49">
        <v>2024</v>
      </c>
      <c r="I273" s="49">
        <v>2025</v>
      </c>
      <c r="J273" s="34"/>
      <c r="K273" s="16"/>
    </row>
    <row r="274" spans="2:11" x14ac:dyDescent="0.3">
      <c r="B274" s="16"/>
      <c r="C274" s="49" t="s">
        <v>131</v>
      </c>
      <c r="D274" s="50"/>
      <c r="E274" s="50"/>
      <c r="F274" s="50"/>
      <c r="G274" s="50"/>
      <c r="H274" s="50"/>
      <c r="I274" s="50"/>
      <c r="J274" s="35"/>
      <c r="K274" s="16"/>
    </row>
    <row r="275" spans="2:11" x14ac:dyDescent="0.3">
      <c r="B275" s="16"/>
      <c r="C275" s="50" t="s">
        <v>14</v>
      </c>
      <c r="D275" s="50"/>
      <c r="E275" s="50"/>
      <c r="F275" s="50"/>
      <c r="G275" s="50"/>
      <c r="H275" s="50"/>
      <c r="I275" s="50"/>
      <c r="J275" s="35"/>
      <c r="K275" s="16"/>
    </row>
    <row r="276" spans="2:11" x14ac:dyDescent="0.3">
      <c r="B276" s="16"/>
      <c r="C276" s="50" t="s">
        <v>13</v>
      </c>
      <c r="D276" s="51">
        <v>-4.1599015930529841</v>
      </c>
      <c r="E276" s="51">
        <v>2.4506312366287197</v>
      </c>
      <c r="F276" s="51">
        <v>5.5040353130472841</v>
      </c>
      <c r="G276" s="51">
        <v>2.9572506693778422</v>
      </c>
      <c r="H276" s="51">
        <v>2.6976615956099126</v>
      </c>
      <c r="I276" s="51">
        <v>2.702282977776771</v>
      </c>
      <c r="J276" s="36"/>
      <c r="K276" s="16"/>
    </row>
    <row r="277" spans="2:11" x14ac:dyDescent="0.3">
      <c r="B277" s="16"/>
      <c r="C277" s="50"/>
      <c r="D277" s="51"/>
      <c r="E277" s="51"/>
      <c r="F277" s="51"/>
      <c r="G277" s="51"/>
      <c r="H277" s="51"/>
      <c r="I277" s="51"/>
      <c r="J277" s="36"/>
      <c r="K277" s="16"/>
    </row>
    <row r="278" spans="2:11" x14ac:dyDescent="0.3">
      <c r="B278" s="16"/>
      <c r="C278" s="50"/>
      <c r="D278" s="51"/>
      <c r="E278" s="51"/>
      <c r="F278" s="51"/>
      <c r="G278" s="51"/>
      <c r="H278" s="51"/>
      <c r="I278" s="51"/>
      <c r="J278" s="36"/>
      <c r="K278" s="16"/>
    </row>
    <row r="279" spans="2:11" x14ac:dyDescent="0.3">
      <c r="B279" s="16"/>
      <c r="C279" s="50" t="s">
        <v>15</v>
      </c>
      <c r="D279" s="51"/>
      <c r="E279" s="51"/>
      <c r="F279" s="51"/>
      <c r="G279" s="51"/>
      <c r="H279" s="51"/>
      <c r="I279" s="51"/>
      <c r="J279" s="36"/>
      <c r="K279" s="16"/>
    </row>
    <row r="280" spans="2:11" x14ac:dyDescent="0.3">
      <c r="B280" s="16"/>
      <c r="C280" s="50" t="s">
        <v>13</v>
      </c>
      <c r="D280" s="51">
        <v>-3.2973407073904726</v>
      </c>
      <c r="E280" s="51">
        <v>3.5775881802316167</v>
      </c>
      <c r="F280" s="51">
        <v>7.5613640016517047</v>
      </c>
      <c r="G280" s="51">
        <v>4.5530880547532071</v>
      </c>
      <c r="H280" s="51">
        <v>4.4948706735330912</v>
      </c>
      <c r="I280" s="51">
        <v>4.3968706469100782</v>
      </c>
      <c r="J280" s="36"/>
      <c r="K280" s="16"/>
    </row>
    <row r="281" spans="2:11" x14ac:dyDescent="0.3">
      <c r="B281" s="16"/>
      <c r="C281" s="50"/>
      <c r="D281" s="51"/>
      <c r="E281" s="51"/>
      <c r="F281" s="51"/>
      <c r="G281" s="51"/>
      <c r="H281" s="51"/>
      <c r="I281" s="51"/>
      <c r="J281" s="36"/>
      <c r="K281" s="16"/>
    </row>
    <row r="282" spans="2:11" x14ac:dyDescent="0.3">
      <c r="B282" s="16"/>
      <c r="C282" s="50"/>
      <c r="D282" s="51"/>
      <c r="E282" s="51"/>
      <c r="F282" s="51"/>
      <c r="G282" s="51"/>
      <c r="H282" s="51"/>
      <c r="I282" s="51"/>
      <c r="J282" s="36"/>
      <c r="K282" s="16"/>
    </row>
    <row r="283" spans="2:11" x14ac:dyDescent="0.3">
      <c r="B283" s="16"/>
      <c r="C283" s="50" t="s">
        <v>16</v>
      </c>
      <c r="D283" s="51"/>
      <c r="E283" s="51"/>
      <c r="F283" s="51"/>
      <c r="G283" s="51"/>
      <c r="H283" s="51"/>
      <c r="I283" s="51"/>
      <c r="J283" s="36"/>
      <c r="K283" s="16"/>
    </row>
    <row r="284" spans="2:11" x14ac:dyDescent="0.3">
      <c r="B284" s="16"/>
      <c r="C284" s="50" t="s">
        <v>13</v>
      </c>
      <c r="D284" s="51">
        <v>-0.5</v>
      </c>
      <c r="E284" s="51">
        <v>1.1000000000000001</v>
      </c>
      <c r="F284" s="51">
        <v>1.9</v>
      </c>
      <c r="G284" s="51">
        <v>1.5</v>
      </c>
      <c r="H284" s="51">
        <v>1.6</v>
      </c>
      <c r="I284" s="51">
        <v>1.9</v>
      </c>
      <c r="J284" s="36"/>
      <c r="K284" s="16"/>
    </row>
    <row r="285" spans="2:11" x14ac:dyDescent="0.3">
      <c r="B285" s="16"/>
      <c r="C285" s="50"/>
      <c r="D285" s="51"/>
      <c r="E285" s="51"/>
      <c r="F285" s="51"/>
      <c r="G285" s="51"/>
      <c r="H285" s="51"/>
      <c r="I285" s="51"/>
      <c r="J285" s="36"/>
      <c r="K285" s="16"/>
    </row>
    <row r="286" spans="2:11" x14ac:dyDescent="0.3">
      <c r="B286" s="16"/>
      <c r="C286" s="50"/>
      <c r="D286" s="50"/>
      <c r="E286" s="50"/>
      <c r="F286" s="50"/>
      <c r="G286" s="50"/>
      <c r="H286" s="50"/>
      <c r="I286" s="50"/>
      <c r="J286" s="35"/>
      <c r="K286" s="16"/>
    </row>
    <row r="287" spans="2:11" x14ac:dyDescent="0.3">
      <c r="B287" s="16"/>
      <c r="C287" s="50" t="s">
        <v>17</v>
      </c>
      <c r="D287" s="51"/>
      <c r="E287" s="51"/>
      <c r="F287" s="51"/>
      <c r="G287" s="51"/>
      <c r="H287" s="51"/>
      <c r="I287" s="51"/>
      <c r="J287" s="36"/>
      <c r="K287" s="16"/>
    </row>
    <row r="288" spans="2:11" x14ac:dyDescent="0.3">
      <c r="B288" s="16"/>
      <c r="C288" s="50" t="s">
        <v>13</v>
      </c>
      <c r="D288" s="51">
        <v>-9.6410083199021682E-2</v>
      </c>
      <c r="E288" s="51">
        <v>4.1185452709110937</v>
      </c>
      <c r="F288" s="51">
        <v>3.9517251655192238</v>
      </c>
      <c r="G288" s="51">
        <v>5.4397437523354339</v>
      </c>
      <c r="H288" s="51">
        <v>5.4829769316050934</v>
      </c>
      <c r="I288" s="51">
        <v>5.5538453226234967</v>
      </c>
      <c r="J288" s="36"/>
      <c r="K288" s="16"/>
    </row>
    <row r="289" spans="2:11" x14ac:dyDescent="0.3">
      <c r="B289" s="16"/>
      <c r="C289" s="50"/>
      <c r="D289" s="51"/>
      <c r="E289" s="51"/>
      <c r="F289" s="51"/>
      <c r="G289" s="51"/>
      <c r="H289" s="51"/>
      <c r="I289" s="51"/>
      <c r="J289" s="36"/>
      <c r="K289" s="16"/>
    </row>
    <row r="290" spans="2:11" x14ac:dyDescent="0.3">
      <c r="B290" s="16"/>
      <c r="C290" s="50"/>
      <c r="D290" s="50"/>
      <c r="E290" s="50"/>
      <c r="F290" s="50"/>
      <c r="G290" s="50"/>
      <c r="H290" s="50"/>
      <c r="I290" s="50"/>
      <c r="J290" s="35"/>
      <c r="K290" s="16"/>
    </row>
    <row r="291" spans="2:11" x14ac:dyDescent="0.3">
      <c r="B291" s="16"/>
      <c r="C291" s="49" t="s">
        <v>132</v>
      </c>
      <c r="D291" s="50"/>
      <c r="E291" s="50"/>
      <c r="F291" s="50"/>
      <c r="G291" s="50"/>
      <c r="H291" s="50"/>
      <c r="I291" s="50"/>
      <c r="J291" s="35"/>
      <c r="K291" s="16"/>
    </row>
    <row r="292" spans="2:11" x14ac:dyDescent="0.3">
      <c r="B292" s="16"/>
      <c r="C292" s="50" t="s">
        <v>47</v>
      </c>
      <c r="D292" s="66"/>
      <c r="E292" s="66"/>
      <c r="F292" s="66"/>
      <c r="G292" s="66"/>
      <c r="H292" s="66"/>
      <c r="I292" s="66"/>
      <c r="J292" s="67"/>
      <c r="K292" s="16"/>
    </row>
    <row r="293" spans="2:11" x14ac:dyDescent="0.3">
      <c r="B293" s="16"/>
      <c r="C293" s="50" t="s">
        <v>13</v>
      </c>
      <c r="D293" s="66">
        <v>85759</v>
      </c>
      <c r="E293" s="66">
        <v>90515</v>
      </c>
      <c r="F293" s="66">
        <v>94150</v>
      </c>
      <c r="G293" s="66">
        <v>99470</v>
      </c>
      <c r="H293" s="66">
        <v>103700</v>
      </c>
      <c r="I293" s="66">
        <v>108120</v>
      </c>
      <c r="J293" s="67"/>
      <c r="K293" s="16"/>
    </row>
    <row r="294" spans="2:11" x14ac:dyDescent="0.3">
      <c r="B294" s="16"/>
      <c r="C294" s="50"/>
      <c r="D294" s="66"/>
      <c r="E294" s="66"/>
      <c r="F294" s="66"/>
      <c r="G294" s="66"/>
      <c r="H294" s="66"/>
      <c r="I294" s="66"/>
      <c r="J294" s="67"/>
      <c r="K294" s="16"/>
    </row>
    <row r="295" spans="2:11" x14ac:dyDescent="0.3">
      <c r="B295" s="16"/>
      <c r="C295" s="50"/>
      <c r="D295" s="66"/>
      <c r="E295" s="66"/>
      <c r="F295" s="66"/>
      <c r="G295" s="66"/>
      <c r="H295" s="66"/>
      <c r="I295" s="66"/>
      <c r="J295" s="67"/>
      <c r="K295" s="16"/>
    </row>
    <row r="296" spans="2:11" x14ac:dyDescent="0.3">
      <c r="B296" s="16"/>
      <c r="C296" s="50" t="s">
        <v>58</v>
      </c>
      <c r="D296" s="66"/>
      <c r="E296" s="66"/>
      <c r="F296" s="66"/>
      <c r="G296" s="66"/>
      <c r="H296" s="66"/>
      <c r="I296" s="66"/>
      <c r="J296" s="67"/>
      <c r="K296" s="16"/>
    </row>
    <row r="297" spans="2:11" x14ac:dyDescent="0.3">
      <c r="B297" s="16"/>
      <c r="C297" s="50" t="s">
        <v>13</v>
      </c>
      <c r="D297" s="66">
        <v>3684</v>
      </c>
      <c r="E297" s="66">
        <v>3360</v>
      </c>
      <c r="F297" s="66">
        <v>3665</v>
      </c>
      <c r="G297" s="66">
        <v>3830</v>
      </c>
      <c r="H297" s="66">
        <v>3795</v>
      </c>
      <c r="I297" s="66">
        <v>3445</v>
      </c>
      <c r="J297" s="67"/>
      <c r="K297" s="16"/>
    </row>
    <row r="298" spans="2:11" x14ac:dyDescent="0.3">
      <c r="B298" s="16"/>
      <c r="C298" s="50"/>
      <c r="D298" s="66"/>
      <c r="E298" s="66"/>
      <c r="F298" s="66"/>
      <c r="G298" s="66"/>
      <c r="H298" s="66"/>
      <c r="I298" s="66"/>
      <c r="J298" s="67"/>
      <c r="K298" s="16"/>
    </row>
    <row r="299" spans="2:11" x14ac:dyDescent="0.3">
      <c r="B299" s="16"/>
      <c r="C299" s="50"/>
      <c r="D299" s="66"/>
      <c r="E299" s="66"/>
      <c r="F299" s="66"/>
      <c r="G299" s="66"/>
      <c r="H299" s="66"/>
      <c r="I299" s="66"/>
      <c r="J299" s="67"/>
      <c r="K299" s="16"/>
    </row>
    <row r="300" spans="2:11" x14ac:dyDescent="0.3">
      <c r="B300" s="16"/>
      <c r="C300" s="50" t="s">
        <v>52</v>
      </c>
      <c r="D300" s="66"/>
      <c r="E300" s="66"/>
      <c r="F300" s="66"/>
      <c r="G300" s="66"/>
      <c r="H300" s="66"/>
      <c r="I300" s="66"/>
      <c r="J300" s="67"/>
      <c r="K300" s="16"/>
    </row>
    <row r="301" spans="2:11" x14ac:dyDescent="0.3">
      <c r="B301" s="16"/>
      <c r="C301" s="50" t="s">
        <v>13</v>
      </c>
      <c r="D301" s="66">
        <f>104175-3684</f>
        <v>100491</v>
      </c>
      <c r="E301" s="66">
        <v>105215</v>
      </c>
      <c r="F301" s="66">
        <v>102100</v>
      </c>
      <c r="G301" s="66">
        <v>100960</v>
      </c>
      <c r="H301" s="66">
        <v>103040</v>
      </c>
      <c r="I301" s="66">
        <v>105475</v>
      </c>
      <c r="J301" s="67"/>
      <c r="K301" s="16"/>
    </row>
    <row r="302" spans="2:11" x14ac:dyDescent="0.3">
      <c r="B302" s="16"/>
      <c r="C302" s="50"/>
      <c r="D302" s="66"/>
      <c r="E302" s="66"/>
      <c r="F302" s="66"/>
      <c r="G302" s="66"/>
      <c r="H302" s="66"/>
      <c r="I302" s="66"/>
      <c r="J302" s="67"/>
      <c r="K302" s="16"/>
    </row>
    <row r="303" spans="2:11" x14ac:dyDescent="0.3">
      <c r="B303" s="16"/>
      <c r="C303" s="50"/>
      <c r="D303" s="66"/>
      <c r="E303" s="66"/>
      <c r="F303" s="66"/>
      <c r="G303" s="66"/>
      <c r="H303" s="66"/>
      <c r="I303" s="66"/>
      <c r="J303" s="67"/>
      <c r="K303" s="16"/>
    </row>
    <row r="304" spans="2:11" x14ac:dyDescent="0.3">
      <c r="B304" s="16"/>
      <c r="C304" s="50" t="s">
        <v>19</v>
      </c>
      <c r="D304" s="50"/>
      <c r="E304" s="50"/>
      <c r="F304" s="50"/>
      <c r="G304" s="50"/>
      <c r="H304" s="50"/>
      <c r="I304" s="50"/>
      <c r="J304" s="35"/>
      <c r="K304" s="16"/>
    </row>
    <row r="305" spans="2:11" x14ac:dyDescent="0.3">
      <c r="B305" s="16"/>
      <c r="C305" s="50" t="s">
        <v>20</v>
      </c>
      <c r="D305" s="50"/>
      <c r="E305" s="50">
        <v>223</v>
      </c>
      <c r="F305" s="50">
        <v>247</v>
      </c>
      <c r="G305" s="50">
        <v>282</v>
      </c>
      <c r="H305" s="50">
        <v>307</v>
      </c>
      <c r="I305" s="50">
        <v>315</v>
      </c>
      <c r="J305" s="35"/>
      <c r="K305" s="16"/>
    </row>
    <row r="306" spans="2:11" x14ac:dyDescent="0.3">
      <c r="B306" s="16"/>
      <c r="C306" s="50" t="s">
        <v>133</v>
      </c>
      <c r="D306" s="50"/>
      <c r="E306" s="50">
        <v>0</v>
      </c>
      <c r="F306" s="50">
        <v>0</v>
      </c>
      <c r="G306" s="50">
        <v>0</v>
      </c>
      <c r="H306" s="50">
        <v>0</v>
      </c>
      <c r="I306" s="50">
        <v>0</v>
      </c>
      <c r="J306" s="35"/>
      <c r="K306" s="16"/>
    </row>
    <row r="307" spans="2:11" x14ac:dyDescent="0.3">
      <c r="B307" s="16"/>
      <c r="C307" s="50"/>
      <c r="D307" s="50"/>
      <c r="E307" s="50"/>
      <c r="F307" s="50"/>
      <c r="G307" s="50"/>
      <c r="H307" s="50"/>
      <c r="I307" s="50"/>
      <c r="J307" s="35"/>
      <c r="K307" s="16"/>
    </row>
    <row r="308" spans="2:11" x14ac:dyDescent="0.3">
      <c r="B308" s="16"/>
      <c r="C308" s="50" t="s">
        <v>21</v>
      </c>
      <c r="D308" s="50"/>
      <c r="E308" s="50"/>
      <c r="F308" s="50"/>
      <c r="G308" s="50"/>
      <c r="H308" s="50"/>
      <c r="I308" s="50"/>
      <c r="J308" s="35"/>
      <c r="K308" s="16"/>
    </row>
    <row r="309" spans="2:11" x14ac:dyDescent="0.3">
      <c r="B309" s="16"/>
      <c r="C309" s="50" t="s">
        <v>20</v>
      </c>
      <c r="D309" s="50"/>
      <c r="E309" s="50">
        <v>514</v>
      </c>
      <c r="F309" s="50">
        <v>601</v>
      </c>
      <c r="G309" s="50">
        <v>711</v>
      </c>
      <c r="H309" s="50">
        <v>817</v>
      </c>
      <c r="I309" s="50">
        <v>850</v>
      </c>
      <c r="J309" s="35"/>
      <c r="K309" s="16"/>
    </row>
    <row r="310" spans="2:11" x14ac:dyDescent="0.3">
      <c r="B310" s="16"/>
      <c r="C310" s="50" t="s">
        <v>133</v>
      </c>
      <c r="D310" s="50"/>
      <c r="E310" s="50">
        <v>0</v>
      </c>
      <c r="F310" s="50">
        <v>0</v>
      </c>
      <c r="G310" s="50">
        <v>0</v>
      </c>
      <c r="H310" s="50">
        <v>0</v>
      </c>
      <c r="I310" s="50">
        <v>0</v>
      </c>
      <c r="J310" s="35"/>
      <c r="K310" s="16"/>
    </row>
    <row r="311" spans="2:11" x14ac:dyDescent="0.3">
      <c r="B311" s="16"/>
      <c r="C311" s="50"/>
      <c r="D311" s="50"/>
      <c r="E311" s="50"/>
      <c r="F311" s="50"/>
      <c r="G311" s="50"/>
      <c r="H311" s="50"/>
      <c r="I311" s="50"/>
      <c r="J311" s="35"/>
      <c r="K311" s="16"/>
    </row>
    <row r="312" spans="2:11" x14ac:dyDescent="0.3">
      <c r="B312" s="16"/>
      <c r="C312" s="50" t="s">
        <v>142</v>
      </c>
      <c r="D312" s="50"/>
      <c r="E312" s="50"/>
      <c r="F312" s="50"/>
      <c r="G312" s="50"/>
      <c r="H312" s="50"/>
      <c r="I312" s="50"/>
      <c r="J312" s="35"/>
      <c r="K312" s="16"/>
    </row>
    <row r="313" spans="2:11" x14ac:dyDescent="0.3">
      <c r="B313" s="16"/>
      <c r="C313" s="50" t="s">
        <v>20</v>
      </c>
      <c r="D313" s="50"/>
      <c r="E313" s="50">
        <v>717</v>
      </c>
      <c r="F313" s="50">
        <v>793</v>
      </c>
      <c r="G313" s="50">
        <v>886</v>
      </c>
      <c r="H313" s="50">
        <v>959</v>
      </c>
      <c r="I313" s="50">
        <v>966</v>
      </c>
      <c r="J313" s="35"/>
      <c r="K313" s="16"/>
    </row>
    <row r="314" spans="2:11" x14ac:dyDescent="0.3">
      <c r="B314" s="16"/>
      <c r="C314" s="50" t="s">
        <v>133</v>
      </c>
      <c r="D314" s="50"/>
      <c r="E314" s="50">
        <v>300</v>
      </c>
      <c r="F314" s="50">
        <v>0</v>
      </c>
      <c r="G314" s="50">
        <v>0</v>
      </c>
      <c r="H314" s="50">
        <v>0</v>
      </c>
      <c r="I314" s="50">
        <v>0</v>
      </c>
      <c r="J314" s="35"/>
      <c r="K314" s="16"/>
    </row>
    <row r="315" spans="2:11" x14ac:dyDescent="0.3">
      <c r="B315" s="16"/>
      <c r="C315" s="50"/>
      <c r="D315" s="50"/>
      <c r="E315" s="50"/>
      <c r="F315" s="50"/>
      <c r="G315" s="50"/>
      <c r="H315" s="50"/>
      <c r="I315" s="50"/>
      <c r="J315" s="35"/>
      <c r="K315" s="16"/>
    </row>
    <row r="316" spans="2:11" x14ac:dyDescent="0.3">
      <c r="B316" s="16"/>
      <c r="C316" s="50" t="s">
        <v>22</v>
      </c>
      <c r="D316" s="50"/>
      <c r="E316" s="50"/>
      <c r="F316" s="50"/>
      <c r="G316" s="50"/>
      <c r="H316" s="50"/>
      <c r="I316" s="50"/>
      <c r="J316" s="35"/>
      <c r="K316" s="16"/>
    </row>
    <row r="317" spans="2:11" x14ac:dyDescent="0.3">
      <c r="B317" s="16"/>
      <c r="C317" s="50" t="s">
        <v>23</v>
      </c>
      <c r="D317" s="50"/>
      <c r="E317" s="50">
        <v>0</v>
      </c>
      <c r="F317" s="50">
        <v>0</v>
      </c>
      <c r="G317" s="50">
        <v>0</v>
      </c>
      <c r="H317" s="50">
        <v>0</v>
      </c>
      <c r="I317" s="50">
        <v>0</v>
      </c>
      <c r="J317" s="35"/>
      <c r="K317" s="16"/>
    </row>
    <row r="318" spans="2:11" x14ac:dyDescent="0.3">
      <c r="B318" s="16"/>
      <c r="C318" s="50" t="s">
        <v>134</v>
      </c>
      <c r="D318" s="50"/>
      <c r="E318" s="66">
        <f>181*HLOOKUP(E$8,Controls,MATCH("Wage growth (total comp. of employees)",ControlsVariable,0)+MATCH($C$20,$C$276:$C$277,0),FALSE)</f>
        <v>745.45669403490797</v>
      </c>
      <c r="F318" s="66">
        <f>181*HLOOKUP(F$8,Controls,MATCH("Wage growth (total comp. of employees)",ControlsVariable,0)+MATCH($C$20,$C$276:$C$277,0),FALSE)</f>
        <v>715.2622549589795</v>
      </c>
      <c r="G318" s="66">
        <f>181*HLOOKUP(G$8,Controls,MATCH("Wage growth (total comp. of employees)",ControlsVariable,0)+MATCH($C$20,$C$276:$C$277,0),FALSE)</f>
        <v>984.59361917271349</v>
      </c>
      <c r="H318" s="66">
        <f>181*HLOOKUP(H$8,Controls,MATCH("Wage growth (total comp. of employees)",ControlsVariable,0)+MATCH($C$20,$C$276:$C$277,0),FALSE)</f>
        <v>992.41882462052195</v>
      </c>
      <c r="I318" s="66">
        <f>181*HLOOKUP(I$8,Controls,MATCH("Wage growth (total comp. of employees)",ControlsVariable,0)+MATCH($C$20,$C$276:$C$277,0),FALSE)</f>
        <v>1005.2460033948529</v>
      </c>
      <c r="J318" s="35"/>
      <c r="K318" s="16"/>
    </row>
    <row r="319" spans="2:11" x14ac:dyDescent="0.3">
      <c r="B319" s="16"/>
      <c r="C319" s="50"/>
      <c r="D319" s="50"/>
      <c r="E319" s="50"/>
      <c r="F319" s="50"/>
      <c r="G319" s="50"/>
      <c r="H319" s="50"/>
      <c r="I319" s="50"/>
      <c r="J319" s="35"/>
      <c r="K319" s="16"/>
    </row>
    <row r="320" spans="2:11" x14ac:dyDescent="0.3">
      <c r="B320" s="16"/>
      <c r="C320" s="50" t="s">
        <v>24</v>
      </c>
      <c r="D320" s="50"/>
      <c r="E320" s="50"/>
      <c r="F320" s="50"/>
      <c r="G320" s="50"/>
      <c r="H320" s="50"/>
      <c r="I320" s="50"/>
      <c r="J320" s="35"/>
      <c r="K320" s="16"/>
    </row>
    <row r="321" spans="2:24" x14ac:dyDescent="0.3">
      <c r="B321" s="16"/>
      <c r="C321" s="50" t="s">
        <v>135</v>
      </c>
      <c r="D321" s="50"/>
      <c r="E321" s="53"/>
      <c r="F321" s="53">
        <v>0</v>
      </c>
      <c r="G321" s="53">
        <v>0</v>
      </c>
      <c r="H321" s="53">
        <v>0</v>
      </c>
      <c r="I321" s="53">
        <v>0</v>
      </c>
      <c r="J321" s="35"/>
      <c r="K321" s="16"/>
    </row>
    <row r="322" spans="2:24" x14ac:dyDescent="0.3">
      <c r="B322" s="16"/>
      <c r="C322" s="50" t="s">
        <v>25</v>
      </c>
      <c r="D322" s="50"/>
      <c r="E322" s="50"/>
      <c r="F322" s="50">
        <v>-575</v>
      </c>
      <c r="G322" s="50">
        <v>-25</v>
      </c>
      <c r="H322" s="50">
        <v>-25</v>
      </c>
      <c r="I322" s="50">
        <v>-25</v>
      </c>
      <c r="J322" s="35"/>
      <c r="K322" s="16"/>
    </row>
    <row r="323" spans="2:24" x14ac:dyDescent="0.3">
      <c r="B323" s="16"/>
      <c r="C323" s="50"/>
      <c r="D323" s="50"/>
      <c r="E323" s="50"/>
      <c r="F323" s="50"/>
      <c r="G323" s="50"/>
      <c r="H323" s="50"/>
      <c r="I323" s="50"/>
      <c r="J323" s="35"/>
      <c r="K323" s="16"/>
    </row>
    <row r="324" spans="2:24" x14ac:dyDescent="0.3">
      <c r="B324" s="16"/>
      <c r="C324" s="49" t="s">
        <v>136</v>
      </c>
      <c r="D324" s="50"/>
      <c r="E324" s="50"/>
      <c r="F324" s="50"/>
      <c r="G324" s="50"/>
      <c r="H324" s="50"/>
      <c r="I324" s="50"/>
      <c r="J324" s="35"/>
      <c r="K324" s="16"/>
    </row>
    <row r="325" spans="2:24" x14ac:dyDescent="0.3">
      <c r="B325" s="16"/>
      <c r="C325" s="50" t="s">
        <v>137</v>
      </c>
      <c r="D325" s="50"/>
      <c r="E325" s="50"/>
      <c r="F325" s="18">
        <v>0</v>
      </c>
      <c r="G325" s="18">
        <v>-1</v>
      </c>
      <c r="H325" s="18">
        <v>-2</v>
      </c>
      <c r="I325" s="18">
        <v>-3</v>
      </c>
      <c r="J325" s="37"/>
      <c r="K325" s="16"/>
      <c r="T325" s="48"/>
      <c r="U325" s="48"/>
      <c r="V325" s="48"/>
      <c r="W325" s="48"/>
      <c r="X325" s="48"/>
    </row>
    <row r="326" spans="2:24" x14ac:dyDescent="0.3">
      <c r="B326" s="16"/>
      <c r="C326" s="50"/>
      <c r="D326" s="50"/>
      <c r="E326" s="50"/>
      <c r="F326" s="50"/>
      <c r="G326" s="50"/>
      <c r="H326" s="50"/>
      <c r="I326" s="50"/>
      <c r="J326" s="35"/>
      <c r="K326" s="16"/>
      <c r="T326" s="48"/>
      <c r="U326" s="48"/>
      <c r="V326" s="48"/>
      <c r="W326" s="48"/>
      <c r="X326" s="48"/>
    </row>
    <row r="327" spans="2:24" x14ac:dyDescent="0.3">
      <c r="B327" s="16"/>
      <c r="C327" s="50" t="s">
        <v>138</v>
      </c>
      <c r="D327" s="50"/>
      <c r="E327" s="50"/>
      <c r="F327" s="50">
        <v>3</v>
      </c>
      <c r="G327" s="50">
        <f>F327</f>
        <v>3</v>
      </c>
      <c r="H327" s="50">
        <f>G327</f>
        <v>3</v>
      </c>
      <c r="I327" s="50">
        <f>H327</f>
        <v>3</v>
      </c>
      <c r="J327" s="35"/>
      <c r="K327" s="16"/>
      <c r="T327" s="48"/>
      <c r="U327" s="48"/>
      <c r="V327" s="48"/>
      <c r="W327" s="48"/>
      <c r="X327" s="48"/>
    </row>
    <row r="328" spans="2:24" x14ac:dyDescent="0.3">
      <c r="B328" s="16"/>
      <c r="C328" s="50"/>
      <c r="D328" s="50"/>
      <c r="E328" s="50"/>
      <c r="F328" s="50"/>
      <c r="G328" s="50"/>
      <c r="H328" s="50"/>
      <c r="I328" s="50"/>
      <c r="J328" s="35"/>
      <c r="K328" s="16"/>
      <c r="T328" s="48"/>
      <c r="U328" s="48"/>
      <c r="V328" s="48"/>
      <c r="W328" s="48"/>
      <c r="X328" s="48"/>
    </row>
    <row r="329" spans="2:24" x14ac:dyDescent="0.3">
      <c r="B329" s="16"/>
      <c r="C329" s="50" t="s">
        <v>139</v>
      </c>
      <c r="D329" s="50"/>
      <c r="E329" s="50"/>
      <c r="F329" s="52">
        <v>0.25</v>
      </c>
      <c r="G329" s="52">
        <f>F329</f>
        <v>0.25</v>
      </c>
      <c r="H329" s="52">
        <f t="shared" ref="H329:I329" si="14">G329</f>
        <v>0.25</v>
      </c>
      <c r="I329" s="52">
        <f t="shared" si="14"/>
        <v>0.25</v>
      </c>
      <c r="J329" s="38"/>
      <c r="K329" s="16"/>
      <c r="T329" s="48"/>
      <c r="U329" s="48"/>
      <c r="V329" s="48"/>
      <c r="W329" s="48"/>
      <c r="X329" s="48"/>
    </row>
    <row r="330" spans="2:24" x14ac:dyDescent="0.3">
      <c r="B330" s="16"/>
      <c r="C330" s="35"/>
      <c r="D330" s="35"/>
      <c r="E330" s="35"/>
      <c r="F330" s="39"/>
      <c r="G330" s="39"/>
      <c r="H330" s="39"/>
      <c r="I330" s="39"/>
      <c r="J330" s="39"/>
      <c r="K330" s="16"/>
      <c r="T330" s="48"/>
      <c r="U330" s="48"/>
      <c r="V330" s="48"/>
      <c r="W330" s="48"/>
      <c r="X330" s="48"/>
    </row>
    <row r="331" spans="2:24" x14ac:dyDescent="0.3">
      <c r="B331" s="2"/>
      <c r="C331" s="2"/>
      <c r="D331" s="2"/>
      <c r="E331" s="2"/>
      <c r="F331" s="2"/>
      <c r="G331" s="2"/>
      <c r="H331" s="2"/>
      <c r="I331" s="2"/>
      <c r="J331" s="2"/>
      <c r="K331" s="2"/>
      <c r="T331" s="48"/>
      <c r="U331" s="48"/>
      <c r="V331" s="48"/>
      <c r="W331" s="48"/>
      <c r="X331" s="48"/>
    </row>
    <row r="332" spans="2:24" x14ac:dyDescent="0.3">
      <c r="B332" s="2"/>
      <c r="C332" s="2"/>
      <c r="D332" s="2"/>
      <c r="E332" s="2"/>
      <c r="F332" s="2"/>
      <c r="G332" s="2"/>
      <c r="H332" s="2"/>
      <c r="I332" s="2"/>
      <c r="J332" s="2"/>
      <c r="K332" s="2"/>
      <c r="T332" s="48"/>
      <c r="U332" s="48"/>
      <c r="V332" s="48"/>
      <c r="W332" s="48"/>
      <c r="X332" s="48"/>
    </row>
    <row r="333" spans="2:24" x14ac:dyDescent="0.3">
      <c r="B333" s="2"/>
      <c r="C333" s="2"/>
      <c r="D333" s="2"/>
      <c r="E333" s="2"/>
      <c r="F333" s="2"/>
      <c r="G333" s="2"/>
      <c r="H333" s="2"/>
      <c r="I333" s="2"/>
      <c r="J333" s="2"/>
      <c r="K333" s="2"/>
      <c r="T333" s="48"/>
      <c r="U333" s="48"/>
      <c r="V333" s="48"/>
      <c r="W333" s="48"/>
      <c r="X333" s="48"/>
    </row>
    <row r="334" spans="2:24" x14ac:dyDescent="0.3">
      <c r="B334" s="2"/>
      <c r="C334" s="2"/>
      <c r="D334" s="2"/>
      <c r="E334" s="2"/>
      <c r="F334" s="2"/>
      <c r="G334" s="2"/>
      <c r="H334" s="2"/>
      <c r="I334" s="2"/>
      <c r="J334" s="2"/>
      <c r="K334" s="2"/>
    </row>
    <row r="335" spans="2:24" x14ac:dyDescent="0.3">
      <c r="B335" s="2"/>
      <c r="C335" s="2"/>
      <c r="D335" s="2"/>
      <c r="E335" s="2"/>
      <c r="F335" s="2"/>
      <c r="G335" s="2"/>
      <c r="H335" s="2"/>
      <c r="I335" s="2"/>
      <c r="J335" s="2"/>
      <c r="K335" s="2"/>
    </row>
    <row r="336" spans="2:24" x14ac:dyDescent="0.3">
      <c r="B336" s="2"/>
      <c r="C336" s="2"/>
      <c r="D336" s="2"/>
      <c r="E336" s="2"/>
      <c r="F336" s="2"/>
      <c r="G336" s="2"/>
      <c r="H336" s="2"/>
      <c r="I336" s="2"/>
      <c r="J336" s="2"/>
      <c r="K336" s="2"/>
    </row>
    <row r="337" spans="2:11" x14ac:dyDescent="0.3">
      <c r="B337" s="2"/>
      <c r="C337" s="2"/>
      <c r="D337" s="2"/>
      <c r="E337" s="2"/>
      <c r="F337" s="2"/>
      <c r="G337" s="2"/>
      <c r="H337" s="2"/>
      <c r="I337" s="2"/>
      <c r="J337" s="2"/>
      <c r="K337" s="2"/>
    </row>
    <row r="338" spans="2:11" x14ac:dyDescent="0.3">
      <c r="B338" s="2"/>
      <c r="C338" s="2"/>
      <c r="D338" s="2"/>
      <c r="E338" s="2"/>
      <c r="F338" s="2"/>
      <c r="G338" s="2"/>
      <c r="H338" s="2"/>
      <c r="I338" s="2"/>
      <c r="J338" s="2"/>
      <c r="K338" s="2"/>
    </row>
    <row r="339" spans="2:11" x14ac:dyDescent="0.3">
      <c r="B339" s="2"/>
      <c r="C339" s="2"/>
      <c r="D339" s="2"/>
      <c r="E339" s="2"/>
      <c r="F339" s="2"/>
      <c r="G339" s="2"/>
      <c r="H339" s="2"/>
      <c r="I339" s="2"/>
      <c r="J339" s="2"/>
      <c r="K339" s="2"/>
    </row>
    <row r="340" spans="2:11" x14ac:dyDescent="0.3">
      <c r="B340" s="2"/>
      <c r="C340" s="2"/>
      <c r="D340" s="2"/>
      <c r="E340" s="2"/>
      <c r="F340" s="2"/>
      <c r="G340" s="2"/>
      <c r="H340" s="2"/>
      <c r="I340" s="2"/>
      <c r="J340" s="2"/>
      <c r="K340" s="2"/>
    </row>
    <row r="341" spans="2:11" x14ac:dyDescent="0.3">
      <c r="B341" s="2"/>
      <c r="C341" s="2"/>
      <c r="D341" s="2"/>
      <c r="E341" s="2"/>
      <c r="F341" s="2"/>
      <c r="G341" s="2"/>
      <c r="H341" s="2"/>
      <c r="I341" s="2"/>
      <c r="J341" s="2"/>
      <c r="K341" s="2"/>
    </row>
    <row r="342" spans="2:11" x14ac:dyDescent="0.3">
      <c r="B342" s="2"/>
      <c r="C342" s="2"/>
      <c r="D342" s="2"/>
      <c r="E342" s="2"/>
      <c r="F342" s="2"/>
      <c r="G342" s="2"/>
      <c r="H342" s="2"/>
      <c r="I342" s="2"/>
      <c r="J342" s="2"/>
      <c r="K342" s="2"/>
    </row>
    <row r="343" spans="2:11" x14ac:dyDescent="0.3">
      <c r="B343" s="2"/>
      <c r="C343" s="2"/>
      <c r="D343" s="2"/>
      <c r="E343" s="2"/>
      <c r="F343" s="2"/>
      <c r="G343" s="2"/>
      <c r="H343" s="2"/>
      <c r="I343" s="2"/>
      <c r="J343" s="2"/>
      <c r="K343" s="2"/>
    </row>
    <row r="344" spans="2:11" x14ac:dyDescent="0.3">
      <c r="B344" s="2"/>
      <c r="C344" s="2"/>
      <c r="D344" s="2"/>
      <c r="E344" s="2"/>
      <c r="F344" s="2"/>
      <c r="G344" s="2"/>
      <c r="H344" s="2"/>
      <c r="I344" s="2"/>
      <c r="J344" s="2"/>
      <c r="K344" s="2"/>
    </row>
    <row r="345" spans="2:11" x14ac:dyDescent="0.3">
      <c r="B345" s="2"/>
      <c r="C345" s="2"/>
      <c r="D345" s="2"/>
      <c r="E345" s="2"/>
      <c r="F345" s="2"/>
      <c r="G345" s="2"/>
      <c r="H345" s="2"/>
      <c r="I345" s="2"/>
      <c r="J345" s="2"/>
      <c r="K345" s="2"/>
    </row>
    <row r="346" spans="2:11" x14ac:dyDescent="0.3">
      <c r="B346" s="2"/>
      <c r="C346" s="2"/>
      <c r="D346" s="2"/>
      <c r="E346" s="2"/>
      <c r="F346" s="2"/>
      <c r="G346" s="2"/>
      <c r="H346" s="2"/>
      <c r="I346" s="2"/>
      <c r="J346" s="2"/>
      <c r="K346" s="2"/>
    </row>
    <row r="347" spans="2:11" x14ac:dyDescent="0.3">
      <c r="B347" s="2"/>
      <c r="C347" s="2"/>
      <c r="D347" s="2"/>
      <c r="E347" s="2"/>
      <c r="F347" s="2"/>
      <c r="G347" s="2"/>
      <c r="H347" s="2"/>
      <c r="I347" s="2"/>
      <c r="J347" s="2"/>
      <c r="K347" s="2"/>
    </row>
    <row r="348" spans="2:11" x14ac:dyDescent="0.3">
      <c r="B348" s="2"/>
      <c r="C348" s="2"/>
      <c r="D348" s="2"/>
      <c r="E348" s="2"/>
      <c r="F348" s="2"/>
      <c r="G348" s="2"/>
      <c r="H348" s="2"/>
      <c r="I348" s="2"/>
      <c r="J348" s="2"/>
      <c r="K348" s="2"/>
    </row>
    <row r="349" spans="2:11" x14ac:dyDescent="0.3">
      <c r="B349" s="2"/>
      <c r="C349" s="2"/>
      <c r="D349" s="2"/>
      <c r="E349" s="2"/>
      <c r="F349" s="2"/>
      <c r="G349" s="2"/>
      <c r="H349" s="2"/>
      <c r="I349" s="2"/>
      <c r="J349" s="2"/>
      <c r="K349" s="2"/>
    </row>
    <row r="350" spans="2:11" x14ac:dyDescent="0.3">
      <c r="B350" s="2"/>
      <c r="C350" s="2"/>
      <c r="D350" s="2"/>
      <c r="E350" s="2"/>
      <c r="F350" s="2"/>
      <c r="G350" s="2"/>
      <c r="H350" s="2"/>
      <c r="I350" s="2"/>
      <c r="J350" s="2"/>
      <c r="K350" s="2"/>
    </row>
    <row r="351" spans="2:11" x14ac:dyDescent="0.3">
      <c r="B351" s="2"/>
      <c r="C351" s="2"/>
      <c r="D351" s="2"/>
      <c r="E351" s="2"/>
      <c r="F351" s="2"/>
      <c r="G351" s="2"/>
      <c r="H351" s="2"/>
      <c r="I351" s="2"/>
      <c r="J351" s="2"/>
      <c r="K351" s="2"/>
    </row>
    <row r="352" spans="2:11" x14ac:dyDescent="0.3">
      <c r="B352" s="2"/>
      <c r="C352" s="2"/>
      <c r="D352" s="2"/>
      <c r="E352" s="2"/>
      <c r="F352" s="2"/>
      <c r="G352" s="2"/>
      <c r="H352" s="2"/>
      <c r="I352" s="2"/>
      <c r="J352" s="2"/>
      <c r="K352" s="2"/>
    </row>
    <row r="353" spans="2:11" x14ac:dyDescent="0.3">
      <c r="B353" s="2"/>
      <c r="C353" s="2"/>
      <c r="D353" s="2"/>
      <c r="E353" s="2"/>
      <c r="F353" s="2"/>
      <c r="G353" s="2"/>
      <c r="H353" s="2"/>
      <c r="I353" s="2"/>
      <c r="J353" s="2"/>
      <c r="K353" s="2"/>
    </row>
    <row r="354" spans="2:11" x14ac:dyDescent="0.3">
      <c r="B354" s="2"/>
      <c r="C354" s="2"/>
      <c r="D354" s="2"/>
      <c r="E354" s="2"/>
      <c r="F354" s="2"/>
      <c r="G354" s="2"/>
      <c r="H354" s="2"/>
      <c r="I354" s="2"/>
      <c r="J354" s="2"/>
      <c r="K354" s="2"/>
    </row>
    <row r="355" spans="2:11" x14ac:dyDescent="0.3">
      <c r="B355" s="2"/>
      <c r="C355" s="2"/>
      <c r="D355" s="2"/>
      <c r="E355" s="2"/>
      <c r="F355" s="2"/>
      <c r="G355" s="2"/>
      <c r="H355" s="2"/>
      <c r="I355" s="2"/>
      <c r="J355" s="2"/>
      <c r="K355" s="2"/>
    </row>
    <row r="356" spans="2:11" x14ac:dyDescent="0.3">
      <c r="B356" s="2"/>
      <c r="C356" s="2"/>
      <c r="D356" s="2"/>
      <c r="E356" s="2"/>
      <c r="F356" s="2"/>
      <c r="G356" s="2"/>
      <c r="H356" s="2"/>
      <c r="I356" s="2"/>
      <c r="J356" s="2"/>
      <c r="K356" s="2"/>
    </row>
    <row r="357" spans="2:11" x14ac:dyDescent="0.3">
      <c r="B357" s="2"/>
      <c r="C357" s="2"/>
      <c r="D357" s="2"/>
      <c r="E357" s="2"/>
      <c r="F357" s="2"/>
      <c r="G357" s="2"/>
      <c r="H357" s="2"/>
      <c r="I357" s="2"/>
      <c r="J357" s="2"/>
      <c r="K357" s="2"/>
    </row>
    <row r="358" spans="2:11" x14ac:dyDescent="0.3">
      <c r="B358" s="2"/>
      <c r="C358" s="2"/>
      <c r="D358" s="2"/>
      <c r="E358" s="2"/>
      <c r="F358" s="2"/>
      <c r="G358" s="2"/>
      <c r="H358" s="2"/>
      <c r="I358" s="2"/>
      <c r="J358" s="2"/>
      <c r="K358" s="2"/>
    </row>
    <row r="359" spans="2:11" x14ac:dyDescent="0.3">
      <c r="B359" s="2"/>
      <c r="C359" s="2"/>
      <c r="D359" s="2"/>
      <c r="E359" s="2"/>
      <c r="F359" s="2"/>
      <c r="G359" s="2"/>
      <c r="H359" s="2"/>
      <c r="I359" s="2"/>
      <c r="J359" s="2"/>
      <c r="K359" s="2"/>
    </row>
    <row r="360" spans="2:11" x14ac:dyDescent="0.3">
      <c r="B360" s="2"/>
      <c r="C360" s="2"/>
      <c r="D360" s="2"/>
      <c r="E360" s="2"/>
      <c r="F360" s="2"/>
      <c r="G360" s="2"/>
      <c r="H360" s="2"/>
      <c r="I360" s="2"/>
      <c r="J360" s="2"/>
      <c r="K360" s="2"/>
    </row>
    <row r="361" spans="2:11" x14ac:dyDescent="0.3">
      <c r="B361" s="2"/>
      <c r="C361" s="2"/>
      <c r="D361" s="2"/>
      <c r="E361" s="2"/>
      <c r="F361" s="2"/>
      <c r="G361" s="2"/>
      <c r="H361" s="2"/>
      <c r="I361" s="2"/>
      <c r="J361" s="2"/>
      <c r="K361" s="2"/>
    </row>
    <row r="362" spans="2:11" x14ac:dyDescent="0.3">
      <c r="B362" s="2"/>
      <c r="C362" s="2"/>
      <c r="D362" s="2"/>
      <c r="E362" s="2"/>
      <c r="F362" s="2"/>
      <c r="G362" s="2"/>
      <c r="H362" s="2"/>
      <c r="I362" s="2"/>
      <c r="J362" s="2"/>
      <c r="K362" s="2"/>
    </row>
    <row r="363" spans="2:11" x14ac:dyDescent="0.3">
      <c r="B363" s="2"/>
      <c r="C363" s="2"/>
      <c r="D363" s="2"/>
      <c r="E363" s="2"/>
      <c r="F363" s="2"/>
      <c r="G363" s="2"/>
      <c r="H363" s="2"/>
      <c r="I363" s="2"/>
      <c r="J363" s="2"/>
      <c r="K363" s="2"/>
    </row>
    <row r="364" spans="2:11" x14ac:dyDescent="0.3">
      <c r="B364" s="2"/>
      <c r="C364" s="2"/>
      <c r="D364" s="2"/>
      <c r="E364" s="2"/>
      <c r="F364" s="2"/>
      <c r="G364" s="2"/>
      <c r="H364" s="2"/>
      <c r="I364" s="2"/>
      <c r="J364" s="2"/>
      <c r="K364" s="2"/>
    </row>
    <row r="365" spans="2:11" x14ac:dyDescent="0.3">
      <c r="B365" s="2"/>
      <c r="C365" s="2"/>
      <c r="D365" s="2"/>
      <c r="E365" s="2"/>
      <c r="F365" s="2"/>
      <c r="G365" s="2"/>
      <c r="H365" s="2"/>
      <c r="I365" s="2"/>
      <c r="J365" s="2"/>
      <c r="K365" s="2"/>
    </row>
    <row r="366" spans="2:11" x14ac:dyDescent="0.3">
      <c r="B366" s="2"/>
      <c r="C366" s="2"/>
      <c r="D366" s="2"/>
      <c r="E366" s="2"/>
      <c r="F366" s="2"/>
      <c r="G366" s="2"/>
      <c r="H366" s="2"/>
      <c r="I366" s="2"/>
      <c r="J366" s="2"/>
      <c r="K366" s="2"/>
    </row>
    <row r="367" spans="2:11" x14ac:dyDescent="0.3">
      <c r="B367" s="2"/>
      <c r="C367" s="2"/>
      <c r="D367" s="2"/>
      <c r="E367" s="2"/>
      <c r="F367" s="2"/>
      <c r="G367" s="2"/>
      <c r="H367" s="2"/>
      <c r="I367" s="2"/>
      <c r="J367" s="2"/>
      <c r="K367" s="2"/>
    </row>
    <row r="368" spans="2:11" x14ac:dyDescent="0.3">
      <c r="B368" s="2"/>
      <c r="C368" s="2"/>
      <c r="D368" s="2"/>
      <c r="E368" s="2"/>
      <c r="F368" s="2"/>
      <c r="G368" s="2"/>
      <c r="H368" s="2"/>
      <c r="I368" s="2"/>
      <c r="J368" s="2"/>
      <c r="K368" s="2"/>
    </row>
    <row r="369" spans="2:11" x14ac:dyDescent="0.3">
      <c r="B369" s="2"/>
      <c r="C369" s="2"/>
      <c r="D369" s="2"/>
      <c r="E369" s="2"/>
      <c r="F369" s="2"/>
      <c r="G369" s="2"/>
      <c r="H369" s="2"/>
      <c r="I369" s="2"/>
      <c r="J369" s="2"/>
      <c r="K369" s="2"/>
    </row>
    <row r="370" spans="2:11" x14ac:dyDescent="0.3">
      <c r="B370" s="2"/>
      <c r="C370" s="2"/>
      <c r="D370" s="2"/>
      <c r="E370" s="2"/>
      <c r="F370" s="2"/>
      <c r="G370" s="2"/>
      <c r="H370" s="2"/>
      <c r="I370" s="2"/>
      <c r="J370" s="2"/>
      <c r="K370" s="2"/>
    </row>
    <row r="371" spans="2:11" x14ac:dyDescent="0.3">
      <c r="B371" s="2"/>
      <c r="C371" s="2"/>
      <c r="D371" s="2"/>
      <c r="E371" s="2"/>
      <c r="F371" s="2"/>
      <c r="G371" s="2"/>
      <c r="H371" s="2"/>
      <c r="I371" s="2"/>
      <c r="J371" s="2"/>
      <c r="K371" s="2"/>
    </row>
    <row r="372" spans="2:11" x14ac:dyDescent="0.3">
      <c r="B372" s="2"/>
      <c r="C372" s="2"/>
      <c r="D372" s="2"/>
      <c r="E372" s="2"/>
      <c r="F372" s="2"/>
      <c r="G372" s="2"/>
      <c r="H372" s="2"/>
      <c r="I372" s="2"/>
      <c r="J372" s="2"/>
      <c r="K372" s="2"/>
    </row>
    <row r="373" spans="2:11" x14ac:dyDescent="0.3">
      <c r="B373" s="2"/>
      <c r="C373" s="2"/>
      <c r="D373" s="2"/>
      <c r="E373" s="2"/>
      <c r="F373" s="2"/>
      <c r="G373" s="2"/>
      <c r="H373" s="2"/>
      <c r="I373" s="2"/>
      <c r="J373" s="2"/>
      <c r="K373" s="2"/>
    </row>
    <row r="374" spans="2:11" x14ac:dyDescent="0.3">
      <c r="B374" s="2"/>
      <c r="C374" s="2"/>
      <c r="D374" s="2"/>
      <c r="E374" s="2"/>
      <c r="F374" s="2"/>
      <c r="G374" s="2"/>
      <c r="H374" s="2"/>
      <c r="I374" s="2"/>
      <c r="J374" s="2"/>
      <c r="K374" s="2"/>
    </row>
    <row r="375" spans="2:11" x14ac:dyDescent="0.3">
      <c r="B375" s="2"/>
      <c r="C375" s="2"/>
      <c r="D375" s="2"/>
      <c r="E375" s="2"/>
      <c r="F375" s="2"/>
      <c r="G375" s="2"/>
      <c r="H375" s="2"/>
      <c r="I375" s="2"/>
      <c r="J375" s="2"/>
      <c r="K375" s="2"/>
    </row>
    <row r="376" spans="2:11" x14ac:dyDescent="0.3">
      <c r="B376" s="2"/>
      <c r="C376" s="2"/>
      <c r="D376" s="2"/>
      <c r="E376" s="2"/>
      <c r="F376" s="2"/>
      <c r="G376" s="2"/>
      <c r="H376" s="2"/>
      <c r="I376" s="2"/>
      <c r="J376" s="2"/>
      <c r="K376" s="2"/>
    </row>
    <row r="377" spans="2:11" x14ac:dyDescent="0.3">
      <c r="B377" s="2"/>
      <c r="C377" s="2"/>
      <c r="D377" s="2"/>
      <c r="E377" s="2"/>
      <c r="F377" s="2"/>
      <c r="G377" s="2"/>
      <c r="H377" s="2"/>
      <c r="I377" s="2"/>
      <c r="J377" s="2"/>
      <c r="K377" s="2"/>
    </row>
    <row r="378" spans="2:11" x14ac:dyDescent="0.3">
      <c r="B378" s="2"/>
      <c r="C378" s="2"/>
      <c r="D378" s="2"/>
      <c r="E378" s="2"/>
      <c r="F378" s="2"/>
      <c r="G378" s="2"/>
      <c r="H378" s="2"/>
      <c r="I378" s="2"/>
      <c r="J378" s="2"/>
      <c r="K378" s="2"/>
    </row>
    <row r="379" spans="2:11" x14ac:dyDescent="0.3">
      <c r="B379" s="2"/>
      <c r="C379" s="2"/>
      <c r="D379" s="2"/>
      <c r="E379" s="2"/>
      <c r="F379" s="2"/>
      <c r="G379" s="2"/>
      <c r="H379" s="2"/>
      <c r="I379" s="2"/>
      <c r="J379" s="2"/>
      <c r="K379" s="2"/>
    </row>
    <row r="380" spans="2:11" x14ac:dyDescent="0.3">
      <c r="B380" s="2"/>
      <c r="C380" s="2"/>
      <c r="D380" s="2"/>
      <c r="E380" s="2"/>
      <c r="F380" s="2"/>
      <c r="G380" s="2"/>
      <c r="H380" s="2"/>
      <c r="I380" s="2"/>
      <c r="J380" s="2"/>
      <c r="K380" s="2"/>
    </row>
    <row r="381" spans="2:11" x14ac:dyDescent="0.3">
      <c r="B381" s="2"/>
      <c r="C381" s="2"/>
      <c r="D381" s="2"/>
      <c r="E381" s="2"/>
      <c r="F381" s="2"/>
      <c r="G381" s="2"/>
      <c r="H381" s="2"/>
      <c r="I381" s="2"/>
      <c r="J381" s="2"/>
      <c r="K381" s="2"/>
    </row>
    <row r="382" spans="2:11" x14ac:dyDescent="0.3">
      <c r="B382" s="2"/>
      <c r="C382" s="2"/>
      <c r="D382" s="2"/>
      <c r="E382" s="2"/>
      <c r="F382" s="2"/>
      <c r="G382" s="2"/>
      <c r="H382" s="2"/>
      <c r="I382" s="2"/>
      <c r="J382" s="2"/>
      <c r="K382" s="2"/>
    </row>
    <row r="383" spans="2:11" x14ac:dyDescent="0.3">
      <c r="B383" s="2"/>
      <c r="C383" s="2"/>
      <c r="D383" s="2"/>
      <c r="E383" s="2"/>
      <c r="F383" s="2"/>
      <c r="G383" s="2"/>
      <c r="H383" s="2"/>
      <c r="I383" s="2"/>
      <c r="J383" s="2"/>
      <c r="K383" s="2"/>
    </row>
    <row r="384" spans="2:11" x14ac:dyDescent="0.3">
      <c r="B384" s="2"/>
      <c r="C384" s="2"/>
      <c r="D384" s="2"/>
      <c r="E384" s="2"/>
      <c r="F384" s="2"/>
      <c r="G384" s="2"/>
      <c r="H384" s="2"/>
      <c r="I384" s="2"/>
      <c r="J384" s="2"/>
      <c r="K384" s="2"/>
    </row>
    <row r="385" spans="2:11" x14ac:dyDescent="0.3">
      <c r="B385" s="2"/>
      <c r="C385" s="2"/>
      <c r="D385" s="2"/>
      <c r="E385" s="2"/>
      <c r="F385" s="2"/>
      <c r="G385" s="2"/>
      <c r="H385" s="2"/>
      <c r="I385" s="2"/>
      <c r="J385" s="2"/>
      <c r="K385" s="2"/>
    </row>
    <row r="386" spans="2:11" x14ac:dyDescent="0.3">
      <c r="B386" s="2"/>
      <c r="C386" s="2"/>
      <c r="D386" s="2"/>
      <c r="E386" s="2"/>
      <c r="F386" s="2"/>
      <c r="G386" s="2"/>
      <c r="H386" s="2"/>
      <c r="I386" s="2"/>
      <c r="J386" s="2"/>
      <c r="K386" s="2"/>
    </row>
    <row r="387" spans="2:11" x14ac:dyDescent="0.3">
      <c r="B387" s="2"/>
      <c r="C387" s="2"/>
      <c r="D387" s="2"/>
      <c r="E387" s="2"/>
      <c r="F387" s="2"/>
      <c r="G387" s="2"/>
      <c r="H387" s="2"/>
      <c r="I387" s="2"/>
      <c r="J387" s="2"/>
      <c r="K387" s="2"/>
    </row>
    <row r="388" spans="2:11" x14ac:dyDescent="0.3">
      <c r="B388" s="2"/>
      <c r="C388" s="2"/>
      <c r="D388" s="2"/>
      <c r="E388" s="2"/>
      <c r="F388" s="2"/>
      <c r="G388" s="2"/>
      <c r="H388" s="2"/>
      <c r="I388" s="2"/>
      <c r="J388" s="2"/>
      <c r="K388" s="2"/>
    </row>
    <row r="389" spans="2:11" x14ac:dyDescent="0.3">
      <c r="B389" s="2"/>
      <c r="C389" s="2"/>
      <c r="D389" s="2"/>
      <c r="E389" s="2"/>
      <c r="F389" s="2"/>
      <c r="G389" s="2"/>
      <c r="H389" s="2"/>
      <c r="I389" s="2"/>
      <c r="J389" s="2"/>
      <c r="K389" s="2"/>
    </row>
    <row r="390" spans="2:11" x14ac:dyDescent="0.3">
      <c r="B390" s="2"/>
      <c r="C390" s="2"/>
      <c r="D390" s="2"/>
      <c r="E390" s="2"/>
      <c r="F390" s="2"/>
      <c r="G390" s="2"/>
      <c r="H390" s="2"/>
      <c r="I390" s="2"/>
      <c r="J390" s="2"/>
      <c r="K390" s="2"/>
    </row>
    <row r="391" spans="2:11" x14ac:dyDescent="0.3">
      <c r="B391" s="2"/>
      <c r="C391" s="2"/>
      <c r="D391" s="2"/>
      <c r="E391" s="2"/>
      <c r="F391" s="2"/>
      <c r="G391" s="2"/>
      <c r="H391" s="2"/>
      <c r="I391" s="2"/>
      <c r="J391" s="2"/>
      <c r="K391" s="2"/>
    </row>
    <row r="392" spans="2:11" x14ac:dyDescent="0.3">
      <c r="B392" s="2"/>
      <c r="C392" s="2"/>
      <c r="D392" s="2"/>
      <c r="E392" s="2"/>
      <c r="F392" s="2"/>
      <c r="G392" s="2"/>
      <c r="H392" s="2"/>
      <c r="I392" s="2"/>
      <c r="J392" s="2"/>
      <c r="K392" s="2"/>
    </row>
    <row r="393" spans="2:11" x14ac:dyDescent="0.3">
      <c r="B393" s="2"/>
      <c r="C393" s="2"/>
      <c r="D393" s="2"/>
      <c r="E393" s="2"/>
      <c r="F393" s="2"/>
      <c r="G393" s="2"/>
      <c r="H393" s="2"/>
      <c r="I393" s="2"/>
      <c r="J393" s="2"/>
      <c r="K393" s="2"/>
    </row>
    <row r="394" spans="2:11" x14ac:dyDescent="0.3">
      <c r="B394" s="2"/>
      <c r="C394" s="2"/>
      <c r="D394" s="2"/>
      <c r="E394" s="2"/>
      <c r="F394" s="2"/>
      <c r="G394" s="2"/>
      <c r="H394" s="2"/>
      <c r="I394" s="2"/>
      <c r="J394" s="2"/>
      <c r="K394" s="2"/>
    </row>
    <row r="395" spans="2:11" x14ac:dyDescent="0.3">
      <c r="B395" s="2"/>
      <c r="C395" s="2"/>
      <c r="D395" s="2"/>
      <c r="E395" s="2"/>
      <c r="F395" s="2"/>
      <c r="G395" s="2"/>
      <c r="H395" s="2"/>
      <c r="I395" s="2"/>
      <c r="J395" s="2"/>
      <c r="K395" s="2"/>
    </row>
    <row r="396" spans="2:11" x14ac:dyDescent="0.3">
      <c r="B396" s="2"/>
      <c r="C396" s="2"/>
      <c r="D396" s="2"/>
      <c r="E396" s="2"/>
      <c r="F396" s="2"/>
      <c r="G396" s="2"/>
      <c r="H396" s="2"/>
      <c r="I396" s="2"/>
      <c r="J396" s="2"/>
      <c r="K396" s="2"/>
    </row>
    <row r="397" spans="2:11" x14ac:dyDescent="0.3">
      <c r="B397" s="2"/>
      <c r="C397" s="2"/>
      <c r="D397" s="2"/>
      <c r="E397" s="2"/>
      <c r="F397" s="2"/>
      <c r="G397" s="2"/>
      <c r="H397" s="2"/>
      <c r="I397" s="2"/>
      <c r="J397" s="2"/>
      <c r="K397" s="2"/>
    </row>
    <row r="398" spans="2:11" x14ac:dyDescent="0.3">
      <c r="B398" s="2"/>
      <c r="C398" s="2"/>
      <c r="D398" s="2"/>
      <c r="E398" s="2"/>
      <c r="F398" s="2"/>
      <c r="G398" s="2"/>
      <c r="H398" s="2"/>
      <c r="I398" s="2"/>
      <c r="J398" s="2"/>
      <c r="K398" s="2"/>
    </row>
    <row r="399" spans="2:11" x14ac:dyDescent="0.3">
      <c r="B399" s="2"/>
      <c r="C399" s="2"/>
      <c r="D399" s="2"/>
      <c r="E399" s="2"/>
      <c r="F399" s="2"/>
      <c r="G399" s="2"/>
      <c r="H399" s="2"/>
      <c r="I399" s="2"/>
      <c r="J399" s="2"/>
      <c r="K399" s="2"/>
    </row>
    <row r="400" spans="2:11" x14ac:dyDescent="0.3">
      <c r="B400" s="2"/>
      <c r="C400" s="2"/>
      <c r="D400" s="2"/>
      <c r="E400" s="2"/>
      <c r="F400" s="2"/>
      <c r="G400" s="2"/>
      <c r="H400" s="2"/>
      <c r="I400" s="2"/>
      <c r="J400" s="2"/>
      <c r="K400" s="2"/>
    </row>
    <row r="401" spans="2:11" x14ac:dyDescent="0.3">
      <c r="B401" s="2"/>
      <c r="C401" s="2"/>
      <c r="D401" s="2"/>
      <c r="E401" s="2"/>
      <c r="F401" s="2"/>
      <c r="G401" s="2"/>
      <c r="H401" s="2"/>
      <c r="I401" s="2"/>
      <c r="J401" s="2"/>
      <c r="K401" s="2"/>
    </row>
    <row r="402" spans="2:11" x14ac:dyDescent="0.3">
      <c r="B402" s="2"/>
      <c r="C402" s="2"/>
      <c r="D402" s="2"/>
      <c r="E402" s="2"/>
      <c r="F402" s="2"/>
      <c r="G402" s="2"/>
      <c r="H402" s="2"/>
      <c r="I402" s="2"/>
      <c r="J402" s="2"/>
      <c r="K402" s="2"/>
    </row>
    <row r="403" spans="2:11" x14ac:dyDescent="0.3">
      <c r="B403" s="2"/>
      <c r="C403" s="2"/>
      <c r="D403" s="2"/>
      <c r="E403" s="2"/>
      <c r="F403" s="2"/>
      <c r="G403" s="2"/>
      <c r="H403" s="2"/>
      <c r="I403" s="2"/>
      <c r="J403" s="2"/>
      <c r="K403" s="2"/>
    </row>
    <row r="404" spans="2:11" x14ac:dyDescent="0.3">
      <c r="B404" s="2"/>
      <c r="C404" s="2"/>
      <c r="D404" s="2"/>
      <c r="E404" s="2"/>
      <c r="F404" s="2"/>
      <c r="G404" s="2"/>
      <c r="H404" s="2"/>
      <c r="I404" s="2"/>
      <c r="J404" s="2"/>
      <c r="K404" s="2"/>
    </row>
    <row r="405" spans="2:11" x14ac:dyDescent="0.3">
      <c r="B405" s="2"/>
      <c r="C405" s="2"/>
      <c r="D405" s="2"/>
      <c r="E405" s="2"/>
      <c r="F405" s="2"/>
      <c r="G405" s="2"/>
      <c r="H405" s="2"/>
      <c r="I405" s="2"/>
      <c r="J405" s="2"/>
      <c r="K405" s="2"/>
    </row>
    <row r="406" spans="2:11" x14ac:dyDescent="0.3">
      <c r="B406" s="2"/>
      <c r="C406" s="2"/>
      <c r="D406" s="2"/>
      <c r="E406" s="2"/>
      <c r="F406" s="2"/>
      <c r="G406" s="2"/>
      <c r="H406" s="2"/>
      <c r="I406" s="2"/>
      <c r="J406" s="2"/>
      <c r="K406" s="2"/>
    </row>
    <row r="407" spans="2:11" x14ac:dyDescent="0.3">
      <c r="B407" s="2"/>
      <c r="C407" s="2"/>
      <c r="D407" s="2"/>
      <c r="E407" s="2"/>
      <c r="F407" s="2"/>
      <c r="G407" s="2"/>
      <c r="H407" s="2"/>
      <c r="I407" s="2"/>
      <c r="J407" s="2"/>
      <c r="K407" s="2"/>
    </row>
    <row r="408" spans="2:11" x14ac:dyDescent="0.3">
      <c r="B408" s="2"/>
      <c r="C408" s="2"/>
      <c r="D408" s="2"/>
      <c r="E408" s="2"/>
      <c r="F408" s="2"/>
      <c r="G408" s="2"/>
      <c r="H408" s="2"/>
      <c r="I408" s="2"/>
      <c r="J408" s="2"/>
      <c r="K408" s="2"/>
    </row>
    <row r="409" spans="2:11" x14ac:dyDescent="0.3">
      <c r="B409" s="2"/>
      <c r="C409" s="2"/>
      <c r="D409" s="2"/>
      <c r="E409" s="2"/>
      <c r="F409" s="2"/>
      <c r="G409" s="2"/>
      <c r="H409" s="2"/>
      <c r="I409" s="2"/>
      <c r="J409" s="2"/>
      <c r="K409" s="2"/>
    </row>
    <row r="410" spans="2:11" x14ac:dyDescent="0.3">
      <c r="B410" s="2"/>
      <c r="C410" s="2"/>
      <c r="D410" s="2"/>
      <c r="E410" s="2"/>
      <c r="F410" s="2"/>
      <c r="G410" s="2"/>
      <c r="H410" s="2"/>
      <c r="I410" s="2"/>
      <c r="J410" s="2"/>
      <c r="K410" s="2"/>
    </row>
    <row r="411" spans="2:11" x14ac:dyDescent="0.3">
      <c r="B411" s="2"/>
      <c r="C411" s="2"/>
      <c r="D411" s="2"/>
      <c r="E411" s="2"/>
      <c r="F411" s="2"/>
      <c r="G411" s="2"/>
      <c r="H411" s="2"/>
      <c r="I411" s="2"/>
      <c r="J411" s="2"/>
      <c r="K411" s="2"/>
    </row>
    <row r="412" spans="2:11" x14ac:dyDescent="0.3">
      <c r="B412" s="2"/>
      <c r="C412" s="2"/>
      <c r="D412" s="2"/>
      <c r="E412" s="2"/>
      <c r="F412" s="2"/>
      <c r="G412" s="2"/>
      <c r="H412" s="2"/>
      <c r="I412" s="2"/>
      <c r="J412" s="2"/>
      <c r="K412" s="2"/>
    </row>
    <row r="413" spans="2:11" x14ac:dyDescent="0.3">
      <c r="B413" s="2"/>
      <c r="C413" s="2"/>
      <c r="D413" s="2"/>
      <c r="E413" s="2"/>
      <c r="F413" s="2"/>
      <c r="G413" s="2"/>
      <c r="H413" s="2"/>
      <c r="I413" s="2"/>
      <c r="J413" s="2"/>
      <c r="K413" s="2"/>
    </row>
    <row r="414" spans="2:11" x14ac:dyDescent="0.3">
      <c r="B414" s="2"/>
      <c r="C414" s="2"/>
      <c r="D414" s="2"/>
      <c r="E414" s="2"/>
      <c r="F414" s="2"/>
      <c r="G414" s="2"/>
      <c r="H414" s="2"/>
      <c r="I414" s="2"/>
      <c r="J414" s="2"/>
      <c r="K414" s="2"/>
    </row>
    <row r="415" spans="2:11" x14ac:dyDescent="0.3">
      <c r="B415" s="2"/>
      <c r="C415" s="2"/>
      <c r="D415" s="2"/>
      <c r="E415" s="2"/>
      <c r="F415" s="2"/>
      <c r="G415" s="2"/>
      <c r="H415" s="2"/>
      <c r="I415" s="2"/>
      <c r="J415" s="2"/>
      <c r="K415" s="2"/>
    </row>
    <row r="416" spans="2:11" x14ac:dyDescent="0.3">
      <c r="B416" s="2"/>
      <c r="C416" s="2"/>
      <c r="D416" s="2"/>
      <c r="E416" s="2"/>
      <c r="F416" s="2"/>
      <c r="G416" s="2"/>
      <c r="H416" s="2"/>
      <c r="I416" s="2"/>
      <c r="J416" s="2"/>
      <c r="K416" s="2"/>
    </row>
    <row r="417" spans="2:11" x14ac:dyDescent="0.3">
      <c r="B417" s="2"/>
      <c r="C417" s="2"/>
      <c r="D417" s="2"/>
      <c r="E417" s="2"/>
      <c r="F417" s="2"/>
      <c r="G417" s="2"/>
      <c r="H417" s="2"/>
      <c r="I417" s="2"/>
      <c r="J417" s="2"/>
      <c r="K417" s="2"/>
    </row>
    <row r="418" spans="2:11" x14ac:dyDescent="0.3">
      <c r="B418" s="2"/>
      <c r="C418" s="2"/>
      <c r="D418" s="2"/>
      <c r="E418" s="2"/>
      <c r="F418" s="2"/>
      <c r="G418" s="2"/>
      <c r="H418" s="2"/>
      <c r="I418" s="2"/>
      <c r="J418" s="2"/>
      <c r="K418" s="2"/>
    </row>
    <row r="419" spans="2:11" x14ac:dyDescent="0.3">
      <c r="B419" s="2"/>
      <c r="C419" s="2"/>
      <c r="D419" s="2"/>
      <c r="E419" s="2"/>
      <c r="F419" s="2"/>
      <c r="G419" s="2"/>
      <c r="H419" s="2"/>
      <c r="I419" s="2"/>
      <c r="J419" s="2"/>
      <c r="K419" s="2"/>
    </row>
    <row r="420" spans="2:11" x14ac:dyDescent="0.3">
      <c r="B420" s="2"/>
      <c r="C420" s="2"/>
      <c r="D420" s="2"/>
      <c r="E420" s="2"/>
      <c r="F420" s="2"/>
      <c r="G420" s="2"/>
      <c r="H420" s="2"/>
      <c r="I420" s="2"/>
      <c r="J420" s="2"/>
      <c r="K420" s="2"/>
    </row>
    <row r="421" spans="2:11" x14ac:dyDescent="0.3">
      <c r="B421" s="2"/>
      <c r="C421" s="2"/>
      <c r="D421" s="2"/>
      <c r="E421" s="2"/>
      <c r="F421" s="2"/>
      <c r="G421" s="2"/>
      <c r="H421" s="2"/>
      <c r="I421" s="2"/>
      <c r="J421" s="2"/>
      <c r="K421" s="2"/>
    </row>
    <row r="422" spans="2:11" x14ac:dyDescent="0.3">
      <c r="B422" s="2"/>
      <c r="C422" s="2"/>
      <c r="D422" s="2"/>
      <c r="E422" s="2"/>
      <c r="F422" s="2"/>
      <c r="G422" s="2"/>
      <c r="H422" s="2"/>
      <c r="I422" s="2"/>
      <c r="J422" s="2"/>
      <c r="K422" s="2"/>
    </row>
    <row r="423" spans="2:11" x14ac:dyDescent="0.3">
      <c r="B423" s="2"/>
      <c r="C423" s="2"/>
      <c r="D423" s="2"/>
      <c r="E423" s="2"/>
      <c r="F423" s="2"/>
      <c r="G423" s="2"/>
      <c r="H423" s="2"/>
      <c r="I423" s="2"/>
      <c r="J423" s="2"/>
      <c r="K423" s="2"/>
    </row>
    <row r="424" spans="2:11" x14ac:dyDescent="0.3">
      <c r="B424" s="2"/>
      <c r="C424" s="2"/>
      <c r="D424" s="2"/>
      <c r="E424" s="2"/>
      <c r="F424" s="2"/>
      <c r="G424" s="2"/>
      <c r="H424" s="2"/>
      <c r="I424" s="2"/>
      <c r="J424" s="2"/>
      <c r="K424" s="2"/>
    </row>
    <row r="425" spans="2:11" x14ac:dyDescent="0.3">
      <c r="B425" s="2"/>
      <c r="C425" s="2"/>
      <c r="D425" s="2"/>
      <c r="E425" s="2"/>
      <c r="F425" s="2"/>
      <c r="G425" s="2"/>
      <c r="H425" s="2"/>
      <c r="I425" s="2"/>
      <c r="J425" s="2"/>
      <c r="K425" s="2"/>
    </row>
    <row r="426" spans="2:11" x14ac:dyDescent="0.3">
      <c r="B426" s="2"/>
      <c r="C426" s="2"/>
      <c r="D426" s="2"/>
      <c r="E426" s="2"/>
      <c r="F426" s="2"/>
      <c r="G426" s="2"/>
      <c r="H426" s="2"/>
      <c r="I426" s="2"/>
      <c r="J426" s="2"/>
      <c r="K426" s="2"/>
    </row>
    <row r="427" spans="2:11" x14ac:dyDescent="0.3">
      <c r="B427" s="2"/>
      <c r="C427" s="2"/>
      <c r="D427" s="2"/>
      <c r="E427" s="2"/>
      <c r="F427" s="2"/>
      <c r="G427" s="2"/>
      <c r="H427" s="2"/>
      <c r="I427" s="2"/>
      <c r="J427" s="2"/>
      <c r="K427" s="2"/>
    </row>
    <row r="428" spans="2:11" x14ac:dyDescent="0.3">
      <c r="B428" s="2"/>
      <c r="C428" s="2"/>
      <c r="D428" s="2"/>
      <c r="E428" s="2"/>
      <c r="F428" s="2"/>
      <c r="G428" s="2"/>
      <c r="H428" s="2"/>
      <c r="I428" s="2"/>
      <c r="J428" s="2"/>
      <c r="K428" s="2"/>
    </row>
    <row r="429" spans="2:11" x14ac:dyDescent="0.3">
      <c r="B429" s="2"/>
      <c r="C429" s="2"/>
      <c r="D429" s="2"/>
      <c r="E429" s="2"/>
      <c r="F429" s="2"/>
      <c r="G429" s="2"/>
      <c r="H429" s="2"/>
      <c r="I429" s="2"/>
      <c r="J429" s="2"/>
      <c r="K429" s="2"/>
    </row>
    <row r="430" spans="2:11" x14ac:dyDescent="0.3">
      <c r="B430" s="2"/>
      <c r="C430" s="2"/>
      <c r="D430" s="2"/>
      <c r="E430" s="2"/>
      <c r="F430" s="2"/>
      <c r="G430" s="2"/>
      <c r="H430" s="2"/>
      <c r="I430" s="2"/>
      <c r="J430" s="2"/>
      <c r="K430" s="2"/>
    </row>
    <row r="431" spans="2:11" x14ac:dyDescent="0.3">
      <c r="B431" s="2"/>
      <c r="C431" s="2"/>
      <c r="D431" s="2"/>
      <c r="E431" s="2"/>
      <c r="F431" s="2"/>
      <c r="G431" s="2"/>
      <c r="H431" s="2"/>
      <c r="I431" s="2"/>
      <c r="J431" s="2"/>
      <c r="K431" s="2"/>
    </row>
    <row r="432" spans="2:11" x14ac:dyDescent="0.3">
      <c r="B432" s="2"/>
      <c r="C432" s="2"/>
      <c r="D432" s="2"/>
      <c r="E432" s="2"/>
      <c r="F432" s="2"/>
      <c r="G432" s="2"/>
      <c r="H432" s="2"/>
      <c r="I432" s="2"/>
      <c r="J432" s="2"/>
      <c r="K432" s="2"/>
    </row>
    <row r="433" spans="2:11" x14ac:dyDescent="0.3">
      <c r="B433" s="2"/>
      <c r="C433" s="2"/>
      <c r="D433" s="2"/>
      <c r="E433" s="2"/>
      <c r="F433" s="2"/>
      <c r="G433" s="2"/>
      <c r="H433" s="2"/>
      <c r="I433" s="2"/>
      <c r="J433" s="2"/>
      <c r="K433" s="2"/>
    </row>
    <row r="434" spans="2:11" x14ac:dyDescent="0.3">
      <c r="B434" s="2"/>
      <c r="C434" s="2"/>
      <c r="D434" s="2"/>
      <c r="E434" s="2"/>
      <c r="F434" s="2"/>
      <c r="G434" s="2"/>
      <c r="H434" s="2"/>
      <c r="I434" s="2"/>
      <c r="J434" s="2"/>
      <c r="K434" s="2"/>
    </row>
    <row r="435" spans="2:11" x14ac:dyDescent="0.3">
      <c r="B435" s="2"/>
      <c r="C435" s="2"/>
      <c r="D435" s="2"/>
      <c r="E435" s="2"/>
      <c r="F435" s="2"/>
      <c r="G435" s="2"/>
      <c r="H435" s="2"/>
      <c r="I435" s="2"/>
      <c r="J435" s="2"/>
      <c r="K435" s="2"/>
    </row>
    <row r="436" spans="2:11" x14ac:dyDescent="0.3">
      <c r="B436" s="2"/>
      <c r="C436" s="2"/>
      <c r="D436" s="2"/>
      <c r="E436" s="2"/>
      <c r="F436" s="2"/>
      <c r="G436" s="2"/>
      <c r="H436" s="2"/>
      <c r="I436" s="2"/>
      <c r="J436" s="2"/>
      <c r="K436" s="2"/>
    </row>
    <row r="437" spans="2:11" x14ac:dyDescent="0.3">
      <c r="B437" s="2"/>
      <c r="C437" s="2"/>
      <c r="D437" s="2"/>
      <c r="E437" s="2"/>
      <c r="F437" s="2"/>
      <c r="G437" s="2"/>
      <c r="H437" s="2"/>
      <c r="I437" s="2"/>
      <c r="J437" s="2"/>
      <c r="K437" s="2"/>
    </row>
    <row r="438" spans="2:11" x14ac:dyDescent="0.3">
      <c r="B438" s="2"/>
      <c r="C438" s="2"/>
      <c r="D438" s="2"/>
      <c r="E438" s="2"/>
      <c r="F438" s="2"/>
      <c r="G438" s="2"/>
      <c r="H438" s="2"/>
      <c r="I438" s="2"/>
      <c r="J438" s="2"/>
      <c r="K438" s="2"/>
    </row>
    <row r="439" spans="2:11" x14ac:dyDescent="0.3">
      <c r="B439" s="2"/>
      <c r="C439" s="2"/>
      <c r="D439" s="2"/>
      <c r="E439" s="2"/>
      <c r="F439" s="2"/>
      <c r="G439" s="2"/>
      <c r="H439" s="2"/>
      <c r="I439" s="2"/>
      <c r="J439" s="2"/>
      <c r="K439" s="2"/>
    </row>
    <row r="440" spans="2:11" x14ac:dyDescent="0.3">
      <c r="B440" s="2"/>
      <c r="C440" s="2"/>
      <c r="D440" s="2"/>
      <c r="E440" s="2"/>
      <c r="F440" s="2"/>
      <c r="G440" s="2"/>
      <c r="H440" s="2"/>
      <c r="I440" s="2"/>
      <c r="J440" s="2"/>
      <c r="K440" s="2"/>
    </row>
    <row r="441" spans="2:11" x14ac:dyDescent="0.3">
      <c r="B441" s="2"/>
      <c r="C441" s="2"/>
      <c r="D441" s="2"/>
      <c r="E441" s="2"/>
      <c r="F441" s="2"/>
      <c r="G441" s="2"/>
      <c r="H441" s="2"/>
      <c r="I441" s="2"/>
      <c r="J441" s="2"/>
      <c r="K441" s="2"/>
    </row>
    <row r="442" spans="2:11" x14ac:dyDescent="0.3">
      <c r="B442" s="2"/>
      <c r="C442" s="2"/>
      <c r="D442" s="2"/>
      <c r="E442" s="2"/>
      <c r="F442" s="2"/>
      <c r="G442" s="2"/>
      <c r="H442" s="2"/>
      <c r="I442" s="2"/>
      <c r="J442" s="2"/>
      <c r="K442" s="2"/>
    </row>
    <row r="443" spans="2:11" x14ac:dyDescent="0.3">
      <c r="B443" s="2"/>
      <c r="C443" s="2"/>
      <c r="D443" s="2"/>
      <c r="E443" s="2"/>
      <c r="F443" s="2"/>
      <c r="G443" s="2"/>
      <c r="H443" s="2"/>
      <c r="I443" s="2"/>
      <c r="J443" s="2"/>
      <c r="K443" s="2"/>
    </row>
    <row r="444" spans="2:11" x14ac:dyDescent="0.3">
      <c r="B444" s="2"/>
      <c r="C444" s="2"/>
      <c r="D444" s="2"/>
      <c r="E444" s="2"/>
      <c r="F444" s="2"/>
      <c r="G444" s="2"/>
      <c r="H444" s="2"/>
      <c r="I444" s="2"/>
      <c r="J444" s="2"/>
      <c r="K444" s="2"/>
    </row>
    <row r="445" spans="2:11" x14ac:dyDescent="0.3">
      <c r="B445" s="2"/>
      <c r="C445" s="2"/>
      <c r="D445" s="2"/>
      <c r="E445" s="2"/>
      <c r="F445" s="2"/>
      <c r="G445" s="2"/>
      <c r="H445" s="2"/>
      <c r="I445" s="2"/>
      <c r="J445" s="2"/>
      <c r="K445" s="2"/>
    </row>
    <row r="446" spans="2:11" x14ac:dyDescent="0.3">
      <c r="B446" s="2"/>
      <c r="C446" s="2"/>
      <c r="D446" s="2"/>
      <c r="E446" s="2"/>
      <c r="F446" s="2"/>
      <c r="G446" s="2"/>
      <c r="H446" s="2"/>
      <c r="I446" s="2"/>
      <c r="J446" s="2"/>
      <c r="K446" s="2"/>
    </row>
    <row r="447" spans="2:11" x14ac:dyDescent="0.3">
      <c r="B447" s="2"/>
      <c r="C447" s="2"/>
      <c r="D447" s="2"/>
      <c r="E447" s="2"/>
      <c r="F447" s="2"/>
      <c r="G447" s="2"/>
      <c r="H447" s="2"/>
      <c r="I447" s="2"/>
      <c r="J447" s="2"/>
      <c r="K447" s="2"/>
    </row>
    <row r="448" spans="2:11" x14ac:dyDescent="0.3">
      <c r="B448" s="2"/>
      <c r="C448" s="2"/>
      <c r="D448" s="2"/>
      <c r="E448" s="2"/>
      <c r="F448" s="2"/>
      <c r="G448" s="2"/>
      <c r="H448" s="2"/>
      <c r="I448" s="2"/>
      <c r="J448" s="2"/>
      <c r="K448" s="2"/>
    </row>
    <row r="449" spans="2:11" x14ac:dyDescent="0.3">
      <c r="B449" s="2"/>
      <c r="C449" s="2"/>
      <c r="D449" s="2"/>
      <c r="E449" s="2"/>
      <c r="F449" s="2"/>
      <c r="G449" s="2"/>
      <c r="H449" s="2"/>
      <c r="I449" s="2"/>
      <c r="J449" s="2"/>
      <c r="K449" s="2"/>
    </row>
    <row r="450" spans="2:11" x14ac:dyDescent="0.3">
      <c r="B450" s="2"/>
      <c r="C450" s="2"/>
      <c r="D450" s="2"/>
      <c r="E450" s="2"/>
      <c r="F450" s="2"/>
      <c r="G450" s="2"/>
      <c r="H450" s="2"/>
      <c r="I450" s="2"/>
      <c r="J450" s="2"/>
      <c r="K450" s="2"/>
    </row>
    <row r="451" spans="2:11" x14ac:dyDescent="0.3">
      <c r="B451" s="2"/>
      <c r="C451" s="2"/>
      <c r="D451" s="2"/>
      <c r="E451" s="2"/>
      <c r="F451" s="2"/>
      <c r="G451" s="2"/>
      <c r="H451" s="2"/>
      <c r="I451" s="2"/>
      <c r="J451" s="2"/>
      <c r="K451" s="2"/>
    </row>
    <row r="452" spans="2:11" x14ac:dyDescent="0.3">
      <c r="B452" s="2"/>
      <c r="C452" s="2"/>
      <c r="D452" s="2"/>
      <c r="E452" s="2"/>
      <c r="F452" s="2"/>
      <c r="G452" s="2"/>
      <c r="H452" s="2"/>
      <c r="I452" s="2"/>
      <c r="J452" s="2"/>
      <c r="K452" s="2"/>
    </row>
    <row r="453" spans="2:11" x14ac:dyDescent="0.3">
      <c r="B453" s="2"/>
      <c r="C453" s="2"/>
      <c r="D453" s="2"/>
      <c r="E453" s="2"/>
      <c r="F453" s="2"/>
      <c r="G453" s="2"/>
      <c r="H453" s="2"/>
      <c r="I453" s="2"/>
      <c r="J453" s="2"/>
      <c r="K453" s="2"/>
    </row>
    <row r="454" spans="2:11" x14ac:dyDescent="0.3">
      <c r="B454" s="2"/>
      <c r="C454" s="2"/>
      <c r="D454" s="2"/>
      <c r="E454" s="2"/>
      <c r="F454" s="2"/>
      <c r="G454" s="2"/>
      <c r="H454" s="2"/>
      <c r="I454" s="2"/>
      <c r="J454" s="2"/>
      <c r="K454" s="2"/>
    </row>
    <row r="455" spans="2:11" x14ac:dyDescent="0.3">
      <c r="B455" s="2"/>
      <c r="C455" s="2"/>
      <c r="D455" s="2"/>
      <c r="E455" s="2"/>
      <c r="F455" s="2"/>
      <c r="G455" s="2"/>
      <c r="H455" s="2"/>
      <c r="I455" s="2"/>
      <c r="J455" s="2"/>
      <c r="K455" s="2"/>
    </row>
    <row r="456" spans="2:11" x14ac:dyDescent="0.3">
      <c r="B456" s="2"/>
      <c r="C456" s="2"/>
      <c r="D456" s="2"/>
      <c r="E456" s="2"/>
      <c r="F456" s="2"/>
      <c r="G456" s="2"/>
      <c r="H456" s="2"/>
      <c r="I456" s="2"/>
      <c r="J456" s="2"/>
      <c r="K456" s="2"/>
    </row>
    <row r="457" spans="2:11" x14ac:dyDescent="0.3">
      <c r="B457" s="2"/>
      <c r="C457" s="2"/>
      <c r="D457" s="2"/>
      <c r="E457" s="2"/>
      <c r="F457" s="2"/>
      <c r="G457" s="2"/>
      <c r="H457" s="2"/>
      <c r="I457" s="2"/>
      <c r="J457" s="2"/>
      <c r="K457" s="2"/>
    </row>
    <row r="458" spans="2:11" x14ac:dyDescent="0.3">
      <c r="B458" s="2"/>
      <c r="C458" s="2"/>
      <c r="D458" s="2"/>
      <c r="E458" s="2"/>
      <c r="F458" s="2"/>
      <c r="G458" s="2"/>
      <c r="H458" s="2"/>
      <c r="I458" s="2"/>
      <c r="J458" s="2"/>
      <c r="K458" s="2"/>
    </row>
    <row r="459" spans="2:11" x14ac:dyDescent="0.3">
      <c r="B459" s="2"/>
      <c r="C459" s="2"/>
      <c r="D459" s="2"/>
      <c r="E459" s="2"/>
      <c r="F459" s="2"/>
      <c r="G459" s="2"/>
      <c r="H459" s="2"/>
      <c r="I459" s="2"/>
      <c r="J459" s="2"/>
      <c r="K459" s="2"/>
    </row>
    <row r="460" spans="2:11" x14ac:dyDescent="0.3">
      <c r="B460" s="2"/>
      <c r="C460" s="2"/>
      <c r="D460" s="2"/>
      <c r="E460" s="2"/>
      <c r="F460" s="2"/>
      <c r="G460" s="2"/>
      <c r="H460" s="2"/>
      <c r="I460" s="2"/>
      <c r="J460" s="2"/>
      <c r="K460" s="2"/>
    </row>
    <row r="461" spans="2:11" x14ac:dyDescent="0.3">
      <c r="B461" s="2"/>
      <c r="C461" s="2"/>
      <c r="D461" s="2"/>
      <c r="E461" s="2"/>
      <c r="F461" s="2"/>
      <c r="G461" s="2"/>
      <c r="H461" s="2"/>
      <c r="I461" s="2"/>
      <c r="J461" s="2"/>
      <c r="K461" s="2"/>
    </row>
    <row r="462" spans="2:11" x14ac:dyDescent="0.3">
      <c r="B462" s="2"/>
      <c r="C462" s="2"/>
      <c r="D462" s="2"/>
      <c r="E462" s="2"/>
      <c r="F462" s="2"/>
      <c r="G462" s="2"/>
      <c r="H462" s="2"/>
      <c r="I462" s="2"/>
      <c r="J462" s="2"/>
      <c r="K462" s="2"/>
    </row>
    <row r="463" spans="2:11" x14ac:dyDescent="0.3">
      <c r="B463" s="2"/>
      <c r="C463" s="2"/>
      <c r="D463" s="2"/>
      <c r="E463" s="2"/>
      <c r="F463" s="2"/>
      <c r="G463" s="2"/>
      <c r="H463" s="2"/>
      <c r="I463" s="2"/>
      <c r="J463" s="2"/>
      <c r="K463" s="2"/>
    </row>
    <row r="464" spans="2:11" x14ac:dyDescent="0.3">
      <c r="B464" s="2"/>
      <c r="C464" s="2"/>
      <c r="D464" s="2"/>
      <c r="E464" s="2"/>
      <c r="F464" s="2"/>
      <c r="G464" s="2"/>
      <c r="H464" s="2"/>
      <c r="I464" s="2"/>
      <c r="J464" s="2"/>
      <c r="K464" s="2"/>
    </row>
    <row r="465" spans="2:11" x14ac:dyDescent="0.3">
      <c r="B465" s="2"/>
      <c r="C465" s="2"/>
      <c r="D465" s="2"/>
      <c r="E465" s="2"/>
      <c r="F465" s="2"/>
      <c r="G465" s="2"/>
      <c r="H465" s="2"/>
      <c r="I465" s="2"/>
      <c r="J465" s="2"/>
      <c r="K465" s="2"/>
    </row>
    <row r="466" spans="2:11" x14ac:dyDescent="0.3">
      <c r="B466" s="2"/>
      <c r="C466" s="2"/>
      <c r="D466" s="2"/>
      <c r="E466" s="2"/>
      <c r="F466" s="2"/>
      <c r="G466" s="2"/>
      <c r="H466" s="2"/>
      <c r="I466" s="2"/>
      <c r="J466" s="2"/>
      <c r="K466" s="2"/>
    </row>
    <row r="467" spans="2:11" x14ac:dyDescent="0.3">
      <c r="B467" s="2"/>
      <c r="C467" s="2"/>
      <c r="D467" s="2"/>
      <c r="E467" s="2"/>
      <c r="F467" s="2"/>
      <c r="G467" s="2"/>
      <c r="H467" s="2"/>
      <c r="I467" s="2"/>
      <c r="J467" s="2"/>
      <c r="K467" s="2"/>
    </row>
    <row r="468" spans="2:11" x14ac:dyDescent="0.3">
      <c r="B468" s="2"/>
      <c r="C468" s="2"/>
      <c r="D468" s="2"/>
      <c r="E468" s="2"/>
      <c r="F468" s="2"/>
      <c r="G468" s="2"/>
      <c r="H468" s="2"/>
      <c r="I468" s="2"/>
      <c r="J468" s="2"/>
      <c r="K468" s="2"/>
    </row>
    <row r="469" spans="2:11" x14ac:dyDescent="0.3">
      <c r="B469" s="2"/>
      <c r="C469" s="2"/>
      <c r="D469" s="2"/>
      <c r="E469" s="2"/>
      <c r="F469" s="2"/>
      <c r="G469" s="2"/>
      <c r="H469" s="2"/>
      <c r="I469" s="2"/>
      <c r="J469" s="2"/>
      <c r="K469" s="2"/>
    </row>
    <row r="470" spans="2:11" x14ac:dyDescent="0.3">
      <c r="B470" s="2"/>
      <c r="C470" s="2"/>
      <c r="D470" s="2"/>
      <c r="E470" s="2"/>
      <c r="F470" s="2"/>
      <c r="G470" s="2"/>
      <c r="H470" s="2"/>
      <c r="I470" s="2"/>
      <c r="J470" s="2"/>
      <c r="K470" s="2"/>
    </row>
    <row r="471" spans="2:11" x14ac:dyDescent="0.3">
      <c r="B471" s="2"/>
      <c r="C471" s="2"/>
      <c r="D471" s="2"/>
      <c r="E471" s="2"/>
      <c r="F471" s="2"/>
      <c r="G471" s="2"/>
      <c r="H471" s="2"/>
      <c r="I471" s="2"/>
      <c r="J471" s="2"/>
      <c r="K471" s="2"/>
    </row>
    <row r="472" spans="2:11" x14ac:dyDescent="0.3">
      <c r="B472" s="2"/>
      <c r="C472" s="2"/>
      <c r="D472" s="2"/>
      <c r="E472" s="2"/>
      <c r="F472" s="2"/>
      <c r="G472" s="2"/>
      <c r="H472" s="2"/>
      <c r="I472" s="2"/>
      <c r="J472" s="2"/>
      <c r="K472" s="2"/>
    </row>
    <row r="473" spans="2:11" x14ac:dyDescent="0.3">
      <c r="B473" s="2"/>
      <c r="C473" s="2"/>
      <c r="D473" s="2"/>
      <c r="E473" s="2"/>
      <c r="F473" s="2"/>
      <c r="G473" s="2"/>
      <c r="H473" s="2"/>
      <c r="I473" s="2"/>
      <c r="J473" s="2"/>
      <c r="K473" s="2"/>
    </row>
    <row r="474" spans="2:11" x14ac:dyDescent="0.3">
      <c r="B474" s="2"/>
      <c r="C474" s="2"/>
      <c r="D474" s="2"/>
      <c r="E474" s="2"/>
      <c r="F474" s="2"/>
      <c r="G474" s="2"/>
      <c r="H474" s="2"/>
      <c r="I474" s="2"/>
      <c r="J474" s="2"/>
      <c r="K474" s="2"/>
    </row>
    <row r="475" spans="2:11" x14ac:dyDescent="0.3">
      <c r="B475" s="2"/>
      <c r="C475" s="2"/>
      <c r="D475" s="2"/>
      <c r="E475" s="2"/>
      <c r="F475" s="2"/>
      <c r="G475" s="2"/>
      <c r="H475" s="2"/>
      <c r="I475" s="2"/>
      <c r="J475" s="2"/>
      <c r="K475" s="2"/>
    </row>
    <row r="476" spans="2:11" x14ac:dyDescent="0.3">
      <c r="B476" s="2"/>
      <c r="C476" s="2"/>
      <c r="D476" s="2"/>
      <c r="E476" s="2"/>
      <c r="F476" s="2"/>
      <c r="G476" s="2"/>
      <c r="H476" s="2"/>
      <c r="I476" s="2"/>
      <c r="J476" s="2"/>
      <c r="K476" s="2"/>
    </row>
    <row r="477" spans="2:11" x14ac:dyDescent="0.3">
      <c r="B477" s="2"/>
      <c r="C477" s="2"/>
      <c r="D477" s="2"/>
      <c r="E477" s="2"/>
      <c r="F477" s="2"/>
      <c r="G477" s="2"/>
      <c r="H477" s="2"/>
      <c r="I477" s="2"/>
      <c r="J477" s="2"/>
      <c r="K477" s="2"/>
    </row>
    <row r="478" spans="2:11" x14ac:dyDescent="0.3">
      <c r="B478" s="2"/>
      <c r="C478" s="2"/>
      <c r="D478" s="2"/>
      <c r="E478" s="2"/>
      <c r="F478" s="2"/>
      <c r="G478" s="2"/>
      <c r="H478" s="2"/>
      <c r="I478" s="2"/>
      <c r="J478" s="2"/>
      <c r="K478" s="2"/>
    </row>
    <row r="479" spans="2:11" x14ac:dyDescent="0.3">
      <c r="B479" s="2"/>
      <c r="C479" s="2"/>
      <c r="D479" s="2"/>
      <c r="E479" s="2"/>
      <c r="F479" s="2"/>
      <c r="G479" s="2"/>
      <c r="H479" s="2"/>
      <c r="I479" s="2"/>
      <c r="J479" s="2"/>
      <c r="K479" s="2"/>
    </row>
    <row r="480" spans="2:11" x14ac:dyDescent="0.3">
      <c r="B480" s="2"/>
      <c r="C480" s="2"/>
      <c r="D480" s="2"/>
      <c r="E480" s="2"/>
      <c r="F480" s="2"/>
      <c r="G480" s="2"/>
      <c r="H480" s="2"/>
      <c r="I480" s="2"/>
      <c r="J480" s="2"/>
      <c r="K480" s="2"/>
    </row>
    <row r="481" spans="2:11" x14ac:dyDescent="0.3">
      <c r="B481" s="2"/>
      <c r="C481" s="2"/>
      <c r="D481" s="2"/>
      <c r="E481" s="2"/>
      <c r="F481" s="2"/>
      <c r="G481" s="2"/>
      <c r="H481" s="2"/>
      <c r="I481" s="2"/>
      <c r="J481" s="2"/>
      <c r="K481" s="2"/>
    </row>
    <row r="482" spans="2:11" x14ac:dyDescent="0.3">
      <c r="B482" s="2"/>
      <c r="C482" s="2"/>
      <c r="D482" s="2"/>
      <c r="E482" s="2"/>
      <c r="F482" s="2"/>
      <c r="G482" s="2"/>
      <c r="H482" s="2"/>
      <c r="I482" s="2"/>
      <c r="J482" s="2"/>
      <c r="K482" s="2"/>
    </row>
    <row r="483" spans="2:11" x14ac:dyDescent="0.3">
      <c r="B483" s="2"/>
      <c r="C483" s="2"/>
      <c r="D483" s="2"/>
      <c r="E483" s="2"/>
      <c r="F483" s="2"/>
      <c r="G483" s="2"/>
      <c r="H483" s="2"/>
      <c r="I483" s="2"/>
      <c r="J483" s="2"/>
      <c r="K483" s="2"/>
    </row>
    <row r="484" spans="2:11" x14ac:dyDescent="0.3">
      <c r="B484" s="2"/>
      <c r="C484" s="2"/>
      <c r="D484" s="2"/>
      <c r="E484" s="2"/>
      <c r="F484" s="2"/>
      <c r="G484" s="2"/>
      <c r="H484" s="2"/>
      <c r="I484" s="2"/>
      <c r="J484" s="2"/>
      <c r="K484" s="2"/>
    </row>
    <row r="485" spans="2:11" x14ac:dyDescent="0.3">
      <c r="B485" s="2"/>
      <c r="C485" s="2"/>
      <c r="D485" s="2"/>
      <c r="E485" s="2"/>
      <c r="F485" s="2"/>
      <c r="G485" s="2"/>
      <c r="H485" s="2"/>
      <c r="I485" s="2"/>
      <c r="J485" s="2"/>
      <c r="K485" s="2"/>
    </row>
    <row r="486" spans="2:11" x14ac:dyDescent="0.3">
      <c r="B486" s="2"/>
      <c r="C486" s="2"/>
      <c r="D486" s="2"/>
      <c r="E486" s="2"/>
      <c r="F486" s="2"/>
      <c r="G486" s="2"/>
      <c r="H486" s="2"/>
      <c r="I486" s="2"/>
      <c r="J486" s="2"/>
      <c r="K486" s="2"/>
    </row>
    <row r="487" spans="2:11" x14ac:dyDescent="0.3">
      <c r="B487" s="2"/>
      <c r="C487" s="2"/>
      <c r="D487" s="2"/>
      <c r="E487" s="2"/>
      <c r="F487" s="2"/>
      <c r="G487" s="2"/>
      <c r="H487" s="2"/>
      <c r="I487" s="2"/>
      <c r="J487" s="2"/>
      <c r="K487" s="2"/>
    </row>
    <row r="488" spans="2:11" x14ac:dyDescent="0.3">
      <c r="B488" s="2"/>
      <c r="C488" s="2"/>
      <c r="D488" s="2"/>
      <c r="E488" s="2"/>
      <c r="F488" s="2"/>
      <c r="G488" s="2"/>
      <c r="H488" s="2"/>
      <c r="I488" s="2"/>
      <c r="J488" s="2"/>
      <c r="K488" s="2"/>
    </row>
    <row r="489" spans="2:11" x14ac:dyDescent="0.3">
      <c r="B489" s="2"/>
      <c r="C489" s="2"/>
      <c r="D489" s="2"/>
      <c r="E489" s="2"/>
      <c r="F489" s="2"/>
      <c r="G489" s="2"/>
      <c r="H489" s="2"/>
      <c r="I489" s="2"/>
      <c r="J489" s="2"/>
      <c r="K489" s="2"/>
    </row>
    <row r="490" spans="2:11" x14ac:dyDescent="0.3">
      <c r="B490" s="2"/>
      <c r="C490" s="2"/>
      <c r="D490" s="2"/>
      <c r="E490" s="2"/>
      <c r="F490" s="2"/>
      <c r="G490" s="2"/>
      <c r="H490" s="2"/>
      <c r="I490" s="2"/>
      <c r="J490" s="2"/>
      <c r="K490" s="2"/>
    </row>
    <row r="491" spans="2:11" x14ac:dyDescent="0.3">
      <c r="B491" s="2"/>
      <c r="C491" s="2"/>
      <c r="D491" s="2"/>
      <c r="E491" s="2"/>
      <c r="F491" s="2"/>
      <c r="G491" s="2"/>
      <c r="H491" s="2"/>
      <c r="I491" s="2"/>
      <c r="J491" s="2"/>
      <c r="K491" s="2"/>
    </row>
    <row r="492" spans="2:11" x14ac:dyDescent="0.3">
      <c r="B492" s="2"/>
      <c r="C492" s="2"/>
      <c r="D492" s="2"/>
      <c r="E492" s="2"/>
      <c r="F492" s="2"/>
      <c r="G492" s="2"/>
      <c r="H492" s="2"/>
      <c r="I492" s="2"/>
      <c r="J492" s="2"/>
      <c r="K492" s="2"/>
    </row>
    <row r="493" spans="2:11" x14ac:dyDescent="0.3">
      <c r="B493" s="2"/>
      <c r="C493" s="2"/>
      <c r="D493" s="2"/>
      <c r="E493" s="2"/>
      <c r="F493" s="2"/>
      <c r="G493" s="2"/>
      <c r="H493" s="2"/>
      <c r="I493" s="2"/>
      <c r="J493" s="2"/>
      <c r="K493" s="2"/>
    </row>
    <row r="494" spans="2:11" x14ac:dyDescent="0.3">
      <c r="B494" s="2"/>
      <c r="C494" s="2"/>
      <c r="D494" s="2"/>
      <c r="E494" s="2"/>
      <c r="F494" s="2"/>
      <c r="G494" s="2"/>
      <c r="H494" s="2"/>
      <c r="I494" s="2"/>
      <c r="J494" s="2"/>
      <c r="K494" s="2"/>
    </row>
    <row r="495" spans="2:11" x14ac:dyDescent="0.3">
      <c r="B495" s="2"/>
      <c r="C495" s="2"/>
      <c r="D495" s="2"/>
      <c r="E495" s="2"/>
      <c r="F495" s="2"/>
      <c r="G495" s="2"/>
      <c r="H495" s="2"/>
      <c r="I495" s="2"/>
      <c r="J495" s="2"/>
      <c r="K495" s="2"/>
    </row>
    <row r="496" spans="2:11" x14ac:dyDescent="0.3">
      <c r="B496" s="2"/>
      <c r="C496" s="2"/>
      <c r="D496" s="2"/>
      <c r="E496" s="2"/>
      <c r="F496" s="2"/>
      <c r="G496" s="2"/>
      <c r="H496" s="2"/>
      <c r="I496" s="2"/>
      <c r="J496" s="2"/>
      <c r="K496" s="2"/>
    </row>
    <row r="497" spans="2:11" x14ac:dyDescent="0.3">
      <c r="B497" s="2"/>
      <c r="C497" s="2"/>
      <c r="D497" s="2"/>
      <c r="E497" s="2"/>
      <c r="F497" s="2"/>
      <c r="G497" s="2"/>
      <c r="H497" s="2"/>
      <c r="I497" s="2"/>
      <c r="J497" s="2"/>
      <c r="K497" s="2"/>
    </row>
    <row r="498" spans="2:11" x14ac:dyDescent="0.3">
      <c r="B498" s="2"/>
      <c r="C498" s="2"/>
      <c r="D498" s="2"/>
      <c r="E498" s="2"/>
      <c r="F498" s="2"/>
      <c r="G498" s="2"/>
      <c r="H498" s="2"/>
      <c r="I498" s="2"/>
      <c r="J498" s="2"/>
      <c r="K498" s="2"/>
    </row>
    <row r="499" spans="2:11" x14ac:dyDescent="0.3">
      <c r="B499" s="2"/>
      <c r="C499" s="2"/>
      <c r="D499" s="2"/>
      <c r="E499" s="2"/>
      <c r="F499" s="2"/>
      <c r="G499" s="2"/>
      <c r="H499" s="2"/>
      <c r="I499" s="2"/>
      <c r="J499" s="2"/>
      <c r="K499" s="2"/>
    </row>
    <row r="500" spans="2:11" x14ac:dyDescent="0.3">
      <c r="B500" s="2"/>
      <c r="C500" s="2"/>
      <c r="D500" s="2"/>
      <c r="E500" s="2"/>
      <c r="F500" s="2"/>
      <c r="G500" s="2"/>
      <c r="H500" s="2"/>
      <c r="I500" s="2"/>
      <c r="J500" s="2"/>
      <c r="K500" s="2"/>
    </row>
    <row r="501" spans="2:11" x14ac:dyDescent="0.3">
      <c r="B501" s="2"/>
      <c r="C501" s="2"/>
      <c r="D501" s="2"/>
      <c r="E501" s="2"/>
      <c r="F501" s="2"/>
      <c r="G501" s="2"/>
      <c r="H501" s="2"/>
      <c r="I501" s="2"/>
      <c r="J501" s="2"/>
      <c r="K501" s="2"/>
    </row>
    <row r="502" spans="2:11" x14ac:dyDescent="0.3">
      <c r="B502" s="2"/>
      <c r="C502" s="2"/>
      <c r="D502" s="2"/>
      <c r="E502" s="2"/>
      <c r="F502" s="2"/>
      <c r="G502" s="2"/>
      <c r="H502" s="2"/>
      <c r="I502" s="2"/>
      <c r="J502" s="2"/>
      <c r="K502" s="2"/>
    </row>
    <row r="503" spans="2:11" x14ac:dyDescent="0.3">
      <c r="B503" s="2"/>
      <c r="C503" s="2"/>
      <c r="D503" s="2"/>
      <c r="E503" s="2"/>
      <c r="F503" s="2"/>
      <c r="G503" s="2"/>
      <c r="H503" s="2"/>
      <c r="I503" s="2"/>
      <c r="J503" s="2"/>
      <c r="K503" s="2"/>
    </row>
    <row r="504" spans="2:11" x14ac:dyDescent="0.3">
      <c r="B504" s="2"/>
      <c r="C504" s="2"/>
      <c r="D504" s="2"/>
      <c r="E504" s="2"/>
      <c r="F504" s="2"/>
      <c r="G504" s="2"/>
      <c r="H504" s="2"/>
      <c r="I504" s="2"/>
      <c r="J504" s="2"/>
      <c r="K504" s="2"/>
    </row>
    <row r="505" spans="2:11" x14ac:dyDescent="0.3">
      <c r="B505" s="2"/>
      <c r="C505" s="2"/>
      <c r="D505" s="2"/>
      <c r="E505" s="2"/>
      <c r="F505" s="2"/>
      <c r="G505" s="2"/>
      <c r="H505" s="2"/>
      <c r="I505" s="2"/>
      <c r="J505" s="2"/>
      <c r="K505" s="2"/>
    </row>
    <row r="506" spans="2:11" x14ac:dyDescent="0.3">
      <c r="B506" s="2"/>
      <c r="C506" s="2"/>
      <c r="D506" s="2"/>
      <c r="E506" s="2"/>
      <c r="F506" s="2"/>
      <c r="G506" s="2"/>
      <c r="H506" s="2"/>
      <c r="I506" s="2"/>
      <c r="J506" s="2"/>
      <c r="K506" s="2"/>
    </row>
    <row r="507" spans="2:11" x14ac:dyDescent="0.3">
      <c r="B507" s="2"/>
      <c r="C507" s="2"/>
      <c r="D507" s="2"/>
      <c r="E507" s="2"/>
      <c r="F507" s="2"/>
      <c r="G507" s="2"/>
      <c r="H507" s="2"/>
      <c r="I507" s="2"/>
      <c r="J507" s="2"/>
      <c r="K507" s="2"/>
    </row>
    <row r="508" spans="2:11" x14ac:dyDescent="0.3">
      <c r="B508" s="2"/>
      <c r="C508" s="2"/>
      <c r="D508" s="2"/>
      <c r="E508" s="2"/>
      <c r="F508" s="2"/>
      <c r="G508" s="2"/>
      <c r="H508" s="2"/>
      <c r="I508" s="2"/>
      <c r="J508" s="2"/>
      <c r="K508" s="2"/>
    </row>
    <row r="509" spans="2:11" x14ac:dyDescent="0.3">
      <c r="B509" s="2"/>
      <c r="C509" s="2"/>
      <c r="D509" s="2"/>
      <c r="E509" s="2"/>
      <c r="F509" s="2"/>
      <c r="G509" s="2"/>
      <c r="H509" s="2"/>
      <c r="I509" s="2"/>
      <c r="J509" s="2"/>
      <c r="K509" s="2"/>
    </row>
    <row r="510" spans="2:11" x14ac:dyDescent="0.3">
      <c r="B510" s="2"/>
      <c r="C510" s="2"/>
      <c r="D510" s="2"/>
      <c r="E510" s="2"/>
      <c r="F510" s="2"/>
      <c r="G510" s="2"/>
      <c r="H510" s="2"/>
      <c r="I510" s="2"/>
      <c r="J510" s="2"/>
      <c r="K510" s="2"/>
    </row>
    <row r="511" spans="2:11" x14ac:dyDescent="0.3">
      <c r="B511" s="2"/>
      <c r="C511" s="2"/>
      <c r="D511" s="2"/>
      <c r="E511" s="2"/>
      <c r="F511" s="2"/>
      <c r="G511" s="2"/>
      <c r="H511" s="2"/>
      <c r="I511" s="2"/>
      <c r="J511" s="2"/>
      <c r="K511" s="2"/>
    </row>
    <row r="512" spans="2:11" x14ac:dyDescent="0.3">
      <c r="B512" s="2"/>
      <c r="C512" s="2"/>
      <c r="D512" s="2"/>
      <c r="E512" s="2"/>
      <c r="F512" s="2"/>
      <c r="G512" s="2"/>
      <c r="H512" s="2"/>
      <c r="I512" s="2"/>
      <c r="J512" s="2"/>
      <c r="K512" s="2"/>
    </row>
    <row r="513" spans="2:11" x14ac:dyDescent="0.3">
      <c r="B513" s="2"/>
      <c r="C513" s="2"/>
      <c r="D513" s="2"/>
      <c r="E513" s="2"/>
      <c r="F513" s="2"/>
      <c r="G513" s="2"/>
      <c r="H513" s="2"/>
      <c r="I513" s="2"/>
      <c r="J513" s="2"/>
      <c r="K513" s="2"/>
    </row>
    <row r="514" spans="2:11" x14ac:dyDescent="0.3">
      <c r="B514" s="2"/>
      <c r="C514" s="2"/>
      <c r="D514" s="2"/>
      <c r="E514" s="2"/>
      <c r="F514" s="2"/>
      <c r="G514" s="2"/>
      <c r="H514" s="2"/>
      <c r="I514" s="2"/>
      <c r="J514" s="2"/>
      <c r="K514" s="2"/>
    </row>
    <row r="515" spans="2:11" x14ac:dyDescent="0.3">
      <c r="B515" s="2"/>
      <c r="C515" s="2"/>
      <c r="D515" s="2"/>
      <c r="E515" s="2"/>
      <c r="F515" s="2"/>
      <c r="G515" s="2"/>
      <c r="H515" s="2"/>
      <c r="I515" s="2"/>
      <c r="J515" s="2"/>
      <c r="K515" s="2"/>
    </row>
    <row r="516" spans="2:11" x14ac:dyDescent="0.3">
      <c r="B516" s="2"/>
      <c r="C516" s="2"/>
      <c r="D516" s="2"/>
      <c r="E516" s="2"/>
      <c r="F516" s="2"/>
      <c r="G516" s="2"/>
      <c r="H516" s="2"/>
      <c r="I516" s="2"/>
      <c r="J516" s="2"/>
      <c r="K516" s="2"/>
    </row>
    <row r="517" spans="2:11" x14ac:dyDescent="0.3">
      <c r="B517" s="2"/>
      <c r="C517" s="2"/>
      <c r="D517" s="2"/>
      <c r="E517" s="2"/>
      <c r="F517" s="2"/>
      <c r="G517" s="2"/>
      <c r="H517" s="2"/>
      <c r="I517" s="2"/>
      <c r="J517" s="2"/>
      <c r="K517" s="2"/>
    </row>
    <row r="518" spans="2:11" x14ac:dyDescent="0.3">
      <c r="B518" s="2"/>
      <c r="C518" s="2"/>
      <c r="D518" s="2"/>
      <c r="E518" s="2"/>
      <c r="F518" s="2"/>
      <c r="G518" s="2"/>
      <c r="H518" s="2"/>
      <c r="I518" s="2"/>
      <c r="J518" s="2"/>
      <c r="K518" s="2"/>
    </row>
    <row r="519" spans="2:11" x14ac:dyDescent="0.3">
      <c r="B519" s="2"/>
      <c r="C519" s="2"/>
      <c r="D519" s="2"/>
      <c r="E519" s="2"/>
      <c r="F519" s="2"/>
      <c r="G519" s="2"/>
      <c r="H519" s="2"/>
      <c r="I519" s="2"/>
      <c r="J519" s="2"/>
      <c r="K519" s="2"/>
    </row>
    <row r="520" spans="2:11" x14ac:dyDescent="0.3">
      <c r="B520" s="2"/>
      <c r="C520" s="2"/>
      <c r="D520" s="2"/>
      <c r="E520" s="2"/>
      <c r="F520" s="2"/>
      <c r="G520" s="2"/>
      <c r="H520" s="2"/>
      <c r="I520" s="2"/>
      <c r="J520" s="2"/>
      <c r="K520" s="2"/>
    </row>
    <row r="521" spans="2:11" x14ac:dyDescent="0.3">
      <c r="B521" s="2"/>
      <c r="C521" s="2"/>
      <c r="D521" s="2"/>
      <c r="E521" s="2"/>
      <c r="F521" s="2"/>
      <c r="G521" s="2"/>
      <c r="H521" s="2"/>
      <c r="I521" s="2"/>
      <c r="J521" s="2"/>
      <c r="K521" s="2"/>
    </row>
    <row r="522" spans="2:11" x14ac:dyDescent="0.3">
      <c r="B522" s="2"/>
      <c r="C522" s="2"/>
      <c r="D522" s="2"/>
      <c r="E522" s="2"/>
      <c r="F522" s="2"/>
      <c r="G522" s="2"/>
      <c r="H522" s="2"/>
      <c r="I522" s="2"/>
      <c r="J522" s="2"/>
      <c r="K522" s="2"/>
    </row>
    <row r="523" spans="2:11" x14ac:dyDescent="0.3">
      <c r="B523" s="2"/>
      <c r="C523" s="2"/>
      <c r="D523" s="2"/>
      <c r="E523" s="2"/>
      <c r="F523" s="2"/>
      <c r="G523" s="2"/>
      <c r="H523" s="2"/>
      <c r="I523" s="2"/>
      <c r="J523" s="2"/>
      <c r="K523" s="2"/>
    </row>
    <row r="524" spans="2:11" x14ac:dyDescent="0.3">
      <c r="B524" s="2"/>
      <c r="C524" s="2"/>
      <c r="D524" s="2"/>
      <c r="E524" s="2"/>
      <c r="F524" s="2"/>
      <c r="G524" s="2"/>
      <c r="H524" s="2"/>
      <c r="I524" s="2"/>
      <c r="J524" s="2"/>
      <c r="K524" s="2"/>
    </row>
    <row r="525" spans="2:11" x14ac:dyDescent="0.3">
      <c r="B525" s="2"/>
      <c r="C525" s="2"/>
      <c r="D525" s="2"/>
      <c r="E525" s="2"/>
      <c r="F525" s="2"/>
      <c r="G525" s="2"/>
      <c r="H525" s="2"/>
      <c r="I525" s="2"/>
      <c r="J525" s="2"/>
      <c r="K525" s="2"/>
    </row>
    <row r="526" spans="2:11" x14ac:dyDescent="0.3">
      <c r="B526" s="2"/>
      <c r="C526" s="2"/>
      <c r="D526" s="2"/>
      <c r="E526" s="2"/>
      <c r="F526" s="2"/>
      <c r="G526" s="2"/>
      <c r="H526" s="2"/>
      <c r="I526" s="2"/>
      <c r="J526" s="2"/>
      <c r="K526" s="2"/>
    </row>
    <row r="527" spans="2:11" x14ac:dyDescent="0.3">
      <c r="B527" s="2"/>
      <c r="C527" s="2"/>
      <c r="D527" s="2"/>
      <c r="E527" s="2"/>
      <c r="F527" s="2"/>
      <c r="G527" s="2"/>
      <c r="H527" s="2"/>
      <c r="I527" s="2"/>
      <c r="J527" s="2"/>
      <c r="K527" s="2"/>
    </row>
    <row r="528" spans="2:11" x14ac:dyDescent="0.3">
      <c r="B528" s="2"/>
      <c r="C528" s="2"/>
      <c r="D528" s="2"/>
      <c r="E528" s="2"/>
      <c r="F528" s="2"/>
      <c r="G528" s="2"/>
      <c r="H528" s="2"/>
      <c r="I528" s="2"/>
      <c r="J528" s="2"/>
      <c r="K528" s="2"/>
    </row>
    <row r="529" spans="2:11" x14ac:dyDescent="0.3">
      <c r="B529" s="2"/>
      <c r="C529" s="2"/>
      <c r="D529" s="2"/>
      <c r="E529" s="2"/>
      <c r="F529" s="2"/>
      <c r="G529" s="2"/>
      <c r="H529" s="2"/>
      <c r="I529" s="2"/>
      <c r="J529" s="2"/>
      <c r="K529" s="2"/>
    </row>
    <row r="530" spans="2:11" x14ac:dyDescent="0.3">
      <c r="B530" s="2"/>
      <c r="C530" s="2"/>
      <c r="D530" s="2"/>
      <c r="E530" s="2"/>
      <c r="F530" s="2"/>
      <c r="G530" s="2"/>
      <c r="H530" s="2"/>
      <c r="I530" s="2"/>
      <c r="J530" s="2"/>
      <c r="K530" s="2"/>
    </row>
    <row r="531" spans="2:11" x14ac:dyDescent="0.3">
      <c r="B531" s="2"/>
      <c r="C531" s="2"/>
      <c r="D531" s="2"/>
      <c r="E531" s="2"/>
      <c r="F531" s="2"/>
      <c r="G531" s="2"/>
      <c r="H531" s="2"/>
      <c r="I531" s="2"/>
      <c r="J531" s="2"/>
      <c r="K531" s="2"/>
    </row>
    <row r="532" spans="2:11" x14ac:dyDescent="0.3">
      <c r="B532" s="2"/>
      <c r="C532" s="2"/>
      <c r="D532" s="2"/>
      <c r="E532" s="2"/>
      <c r="F532" s="2"/>
      <c r="G532" s="2"/>
      <c r="H532" s="2"/>
      <c r="I532" s="2"/>
      <c r="J532" s="2"/>
      <c r="K532" s="2"/>
    </row>
    <row r="533" spans="2:11" x14ac:dyDescent="0.3">
      <c r="B533" s="2"/>
      <c r="C533" s="2"/>
      <c r="D533" s="2"/>
      <c r="E533" s="2"/>
      <c r="F533" s="2"/>
      <c r="G533" s="2"/>
      <c r="H533" s="2"/>
      <c r="I533" s="2"/>
      <c r="J533" s="2"/>
      <c r="K533" s="2"/>
    </row>
    <row r="534" spans="2:11" x14ac:dyDescent="0.3">
      <c r="B534" s="2"/>
      <c r="C534" s="2"/>
      <c r="D534" s="2"/>
      <c r="E534" s="2"/>
      <c r="F534" s="2"/>
      <c r="G534" s="2"/>
      <c r="H534" s="2"/>
      <c r="I534" s="2"/>
      <c r="J534" s="2"/>
      <c r="K534" s="2"/>
    </row>
    <row r="535" spans="2:11" x14ac:dyDescent="0.3">
      <c r="B535" s="2"/>
      <c r="C535" s="2"/>
      <c r="D535" s="2"/>
      <c r="E535" s="2"/>
      <c r="F535" s="2"/>
      <c r="G535" s="2"/>
      <c r="H535" s="2"/>
      <c r="I535" s="2"/>
      <c r="J535" s="2"/>
      <c r="K535" s="2"/>
    </row>
    <row r="536" spans="2:11" x14ac:dyDescent="0.3">
      <c r="B536" s="2"/>
      <c r="C536" s="2"/>
      <c r="D536" s="2"/>
      <c r="E536" s="2"/>
      <c r="F536" s="2"/>
      <c r="G536" s="2"/>
      <c r="H536" s="2"/>
      <c r="I536" s="2"/>
      <c r="J536" s="2"/>
      <c r="K536" s="2"/>
    </row>
    <row r="537" spans="2:11" x14ac:dyDescent="0.3">
      <c r="B537" s="2"/>
      <c r="C537" s="2"/>
      <c r="D537" s="2"/>
      <c r="E537" s="2"/>
      <c r="F537" s="2"/>
      <c r="G537" s="2"/>
      <c r="H537" s="2"/>
      <c r="I537" s="2"/>
      <c r="J537" s="2"/>
      <c r="K537" s="2"/>
    </row>
    <row r="538" spans="2:11" x14ac:dyDescent="0.3">
      <c r="B538" s="2"/>
      <c r="C538" s="2"/>
      <c r="D538" s="2"/>
      <c r="E538" s="2"/>
      <c r="F538" s="2"/>
      <c r="G538" s="2"/>
      <c r="H538" s="2"/>
      <c r="I538" s="2"/>
      <c r="J538" s="2"/>
      <c r="K538" s="2"/>
    </row>
    <row r="539" spans="2:11" x14ac:dyDescent="0.3">
      <c r="B539" s="2"/>
      <c r="C539" s="2"/>
      <c r="D539" s="2"/>
      <c r="E539" s="2"/>
      <c r="F539" s="2"/>
      <c r="G539" s="2"/>
      <c r="H539" s="2"/>
      <c r="I539" s="2"/>
      <c r="J539" s="2"/>
      <c r="K539" s="2"/>
    </row>
    <row r="540" spans="2:11" x14ac:dyDescent="0.3">
      <c r="B540" s="2"/>
      <c r="C540" s="2"/>
      <c r="D540" s="2"/>
      <c r="E540" s="2"/>
      <c r="F540" s="2"/>
      <c r="G540" s="2"/>
      <c r="H540" s="2"/>
      <c r="I540" s="2"/>
      <c r="J540" s="2"/>
      <c r="K540" s="2"/>
    </row>
    <row r="541" spans="2:11" x14ac:dyDescent="0.3">
      <c r="B541" s="2"/>
      <c r="C541" s="2"/>
      <c r="D541" s="2"/>
      <c r="E541" s="2"/>
      <c r="F541" s="2"/>
      <c r="G541" s="2"/>
      <c r="H541" s="2"/>
      <c r="I541" s="2"/>
      <c r="J541" s="2"/>
      <c r="K541" s="2"/>
    </row>
    <row r="542" spans="2:11" x14ac:dyDescent="0.3">
      <c r="B542" s="2"/>
      <c r="C542" s="2"/>
      <c r="D542" s="2"/>
      <c r="E542" s="2"/>
      <c r="F542" s="2"/>
      <c r="G542" s="2"/>
      <c r="H542" s="2"/>
      <c r="I542" s="2"/>
      <c r="J542" s="2"/>
      <c r="K542" s="2"/>
    </row>
    <row r="543" spans="2:11" x14ac:dyDescent="0.3">
      <c r="B543" s="2"/>
      <c r="C543" s="2"/>
      <c r="D543" s="2"/>
      <c r="E543" s="2"/>
      <c r="F543" s="2"/>
      <c r="G543" s="2"/>
      <c r="H543" s="2"/>
      <c r="I543" s="2"/>
      <c r="J543" s="2"/>
      <c r="K543" s="2"/>
    </row>
    <row r="544" spans="2:11" x14ac:dyDescent="0.3">
      <c r="B544" s="2"/>
      <c r="C544" s="2"/>
      <c r="D544" s="2"/>
      <c r="E544" s="2"/>
      <c r="F544" s="2"/>
      <c r="G544" s="2"/>
      <c r="H544" s="2"/>
      <c r="I544" s="2"/>
      <c r="J544" s="2"/>
      <c r="K544" s="2"/>
    </row>
    <row r="545" spans="2:11" x14ac:dyDescent="0.3">
      <c r="B545" s="2"/>
      <c r="C545" s="2"/>
      <c r="D545" s="2"/>
      <c r="E545" s="2"/>
      <c r="F545" s="2"/>
      <c r="G545" s="2"/>
      <c r="H545" s="2"/>
      <c r="I545" s="2"/>
      <c r="J545" s="2"/>
      <c r="K545" s="2"/>
    </row>
    <row r="546" spans="2:11" x14ac:dyDescent="0.3">
      <c r="B546" s="2"/>
      <c r="C546" s="2"/>
      <c r="D546" s="2"/>
      <c r="E546" s="2"/>
      <c r="F546" s="2"/>
      <c r="G546" s="2"/>
      <c r="H546" s="2"/>
      <c r="I546" s="2"/>
      <c r="J546" s="2"/>
      <c r="K546" s="2"/>
    </row>
    <row r="547" spans="2:11" x14ac:dyDescent="0.3">
      <c r="B547" s="2"/>
      <c r="C547" s="2"/>
      <c r="D547" s="2"/>
      <c r="E547" s="2"/>
      <c r="F547" s="2"/>
      <c r="G547" s="2"/>
      <c r="H547" s="2"/>
      <c r="I547" s="2"/>
      <c r="J547" s="2"/>
      <c r="K547" s="2"/>
    </row>
    <row r="548" spans="2:11" x14ac:dyDescent="0.3">
      <c r="B548" s="2"/>
      <c r="C548" s="2"/>
      <c r="D548" s="2"/>
      <c r="E548" s="2"/>
      <c r="F548" s="2"/>
      <c r="G548" s="2"/>
      <c r="H548" s="2"/>
      <c r="I548" s="2"/>
      <c r="J548" s="2"/>
      <c r="K548" s="2"/>
    </row>
    <row r="549" spans="2:11" x14ac:dyDescent="0.3">
      <c r="B549" s="2"/>
      <c r="C549" s="2"/>
      <c r="D549" s="2"/>
      <c r="E549" s="2"/>
      <c r="F549" s="2"/>
      <c r="G549" s="2"/>
      <c r="H549" s="2"/>
      <c r="I549" s="2"/>
      <c r="J549" s="2"/>
      <c r="K549" s="2"/>
    </row>
    <row r="550" spans="2:11" x14ac:dyDescent="0.3">
      <c r="B550" s="2"/>
      <c r="C550" s="2"/>
      <c r="D550" s="2"/>
      <c r="E550" s="2"/>
      <c r="F550" s="2"/>
      <c r="G550" s="2"/>
      <c r="H550" s="2"/>
      <c r="I550" s="2"/>
      <c r="J550" s="2"/>
      <c r="K550" s="2"/>
    </row>
    <row r="551" spans="2:11" x14ac:dyDescent="0.3">
      <c r="B551" s="2"/>
      <c r="C551" s="2"/>
      <c r="D551" s="2"/>
      <c r="E551" s="2"/>
      <c r="F551" s="2"/>
      <c r="G551" s="2"/>
      <c r="H551" s="2"/>
      <c r="I551" s="2"/>
      <c r="J551" s="2"/>
      <c r="K551" s="2"/>
    </row>
    <row r="552" spans="2:11" x14ac:dyDescent="0.3">
      <c r="B552" s="2"/>
      <c r="C552" s="2"/>
      <c r="D552" s="2"/>
      <c r="E552" s="2"/>
      <c r="F552" s="2"/>
      <c r="G552" s="2"/>
      <c r="H552" s="2"/>
      <c r="I552" s="2"/>
      <c r="J552" s="2"/>
      <c r="K552" s="2"/>
    </row>
    <row r="553" spans="2:11" x14ac:dyDescent="0.3">
      <c r="B553" s="2"/>
      <c r="C553" s="2"/>
      <c r="D553" s="2"/>
      <c r="E553" s="2"/>
      <c r="F553" s="2"/>
      <c r="G553" s="2"/>
      <c r="H553" s="2"/>
      <c r="I553" s="2"/>
      <c r="J553" s="2"/>
      <c r="K553" s="2"/>
    </row>
    <row r="554" spans="2:11" x14ac:dyDescent="0.3">
      <c r="B554" s="2"/>
      <c r="C554" s="2"/>
      <c r="D554" s="2"/>
      <c r="E554" s="2"/>
      <c r="F554" s="2"/>
      <c r="G554" s="2"/>
      <c r="H554" s="2"/>
      <c r="I554" s="2"/>
      <c r="J554" s="2"/>
      <c r="K554" s="2"/>
    </row>
    <row r="555" spans="2:11" x14ac:dyDescent="0.3">
      <c r="B555" s="2"/>
      <c r="C555" s="2"/>
      <c r="D555" s="2"/>
      <c r="E555" s="2"/>
      <c r="F555" s="2"/>
      <c r="G555" s="2"/>
      <c r="H555" s="2"/>
      <c r="I555" s="2"/>
      <c r="J555" s="2"/>
      <c r="K555" s="2"/>
    </row>
    <row r="556" spans="2:11" x14ac:dyDescent="0.3">
      <c r="B556" s="2"/>
      <c r="C556" s="2"/>
      <c r="D556" s="2"/>
      <c r="E556" s="2"/>
      <c r="F556" s="2"/>
      <c r="G556" s="2"/>
      <c r="H556" s="2"/>
      <c r="I556" s="2"/>
      <c r="J556" s="2"/>
      <c r="K556" s="2"/>
    </row>
    <row r="557" spans="2:11" x14ac:dyDescent="0.3">
      <c r="B557" s="2"/>
      <c r="C557" s="2"/>
      <c r="D557" s="2"/>
      <c r="E557" s="2"/>
      <c r="F557" s="2"/>
      <c r="G557" s="2"/>
      <c r="H557" s="2"/>
      <c r="I557" s="2"/>
      <c r="J557" s="2"/>
      <c r="K557" s="2"/>
    </row>
    <row r="558" spans="2:11" x14ac:dyDescent="0.3">
      <c r="B558" s="2"/>
      <c r="C558" s="2"/>
      <c r="D558" s="2"/>
      <c r="E558" s="2"/>
      <c r="F558" s="2"/>
      <c r="G558" s="2"/>
      <c r="H558" s="2"/>
      <c r="I558" s="2"/>
      <c r="J558" s="2"/>
      <c r="K558" s="2"/>
    </row>
    <row r="559" spans="2:11" x14ac:dyDescent="0.3">
      <c r="B559" s="2"/>
      <c r="C559" s="2"/>
      <c r="D559" s="2"/>
      <c r="E559" s="2"/>
      <c r="F559" s="2"/>
      <c r="G559" s="2"/>
      <c r="H559" s="2"/>
      <c r="I559" s="2"/>
      <c r="J559" s="2"/>
      <c r="K559" s="2"/>
    </row>
    <row r="560" spans="2:11" x14ac:dyDescent="0.3">
      <c r="B560" s="2"/>
      <c r="C560" s="2"/>
      <c r="D560" s="2"/>
      <c r="E560" s="2"/>
      <c r="F560" s="2"/>
      <c r="G560" s="2"/>
      <c r="H560" s="2"/>
      <c r="I560" s="2"/>
      <c r="J560" s="2"/>
      <c r="K560" s="2"/>
    </row>
    <row r="561" spans="2:11" x14ac:dyDescent="0.3">
      <c r="B561" s="2"/>
      <c r="C561" s="2"/>
      <c r="D561" s="2"/>
      <c r="E561" s="2"/>
      <c r="F561" s="2"/>
      <c r="G561" s="2"/>
      <c r="H561" s="2"/>
      <c r="I561" s="2"/>
      <c r="J561" s="2"/>
      <c r="K561" s="2"/>
    </row>
    <row r="562" spans="2:11" x14ac:dyDescent="0.3">
      <c r="C562" s="2"/>
      <c r="D562" s="2"/>
      <c r="E562" s="2"/>
      <c r="F562" s="2"/>
      <c r="G562" s="2"/>
      <c r="H562" s="2"/>
      <c r="I562" s="2"/>
      <c r="J562" s="2"/>
      <c r="K562" s="2"/>
    </row>
    <row r="563" spans="2:11" x14ac:dyDescent="0.3">
      <c r="C563" s="2"/>
      <c r="D563" s="2"/>
      <c r="E563" s="2"/>
      <c r="F563" s="2"/>
      <c r="G563" s="2"/>
      <c r="H563" s="2"/>
      <c r="I563" s="2"/>
      <c r="J563" s="2"/>
      <c r="K563" s="2"/>
    </row>
    <row r="564" spans="2:11" x14ac:dyDescent="0.3">
      <c r="C564" s="2"/>
      <c r="D564" s="2"/>
      <c r="E564" s="2"/>
      <c r="F564" s="2"/>
      <c r="G564" s="2"/>
      <c r="H564" s="2"/>
      <c r="I564" s="2"/>
      <c r="J564" s="2"/>
      <c r="K564" s="2"/>
    </row>
    <row r="565" spans="2:11" x14ac:dyDescent="0.3">
      <c r="C565" s="2"/>
      <c r="D565" s="2"/>
      <c r="E565" s="2"/>
      <c r="F565" s="2"/>
      <c r="G565" s="2"/>
      <c r="H565" s="2"/>
      <c r="I565" s="2"/>
      <c r="J565" s="2"/>
      <c r="K565" s="2"/>
    </row>
    <row r="566" spans="2:11" x14ac:dyDescent="0.3">
      <c r="C566" s="2"/>
      <c r="D566" s="2"/>
      <c r="E566" s="2"/>
      <c r="F566" s="2"/>
      <c r="G566" s="2"/>
      <c r="H566" s="2"/>
      <c r="I566" s="2"/>
      <c r="J566" s="2"/>
      <c r="K566" s="2"/>
    </row>
    <row r="567" spans="2:11" x14ac:dyDescent="0.3">
      <c r="C567" s="2"/>
      <c r="D567" s="2"/>
      <c r="E567" s="2"/>
      <c r="F567" s="2"/>
      <c r="G567" s="2"/>
      <c r="H567" s="2"/>
      <c r="I567" s="2"/>
      <c r="J567" s="2"/>
      <c r="K567" s="2"/>
    </row>
    <row r="568" spans="2:11" x14ac:dyDescent="0.3">
      <c r="C568" s="2"/>
      <c r="D568" s="2"/>
      <c r="E568" s="2"/>
      <c r="F568" s="2"/>
      <c r="G568" s="2"/>
      <c r="H568" s="2"/>
      <c r="I568" s="2"/>
      <c r="J568" s="2"/>
      <c r="K568" s="2"/>
    </row>
    <row r="569" spans="2:11" x14ac:dyDescent="0.3">
      <c r="C569" s="2"/>
      <c r="D569" s="2"/>
      <c r="E569" s="2"/>
      <c r="F569" s="2"/>
      <c r="G569" s="2"/>
      <c r="H569" s="2"/>
      <c r="I569" s="2"/>
      <c r="J569" s="2"/>
      <c r="K569" s="2"/>
    </row>
    <row r="570" spans="2:11" x14ac:dyDescent="0.3">
      <c r="C570" s="2"/>
      <c r="D570" s="2"/>
      <c r="E570" s="2"/>
      <c r="F570" s="2"/>
      <c r="G570" s="2"/>
      <c r="H570" s="2"/>
      <c r="I570" s="2"/>
      <c r="J570" s="2"/>
      <c r="K570" s="2"/>
    </row>
    <row r="571" spans="2:11" x14ac:dyDescent="0.3">
      <c r="C571" s="2"/>
      <c r="D571" s="2"/>
      <c r="E571" s="2"/>
      <c r="F571" s="2"/>
      <c r="G571" s="2"/>
      <c r="H571" s="2"/>
      <c r="I571" s="2"/>
      <c r="J571" s="2"/>
      <c r="K571" s="2"/>
    </row>
    <row r="572" spans="2:11" x14ac:dyDescent="0.3">
      <c r="C572" s="2"/>
      <c r="D572" s="2"/>
      <c r="E572" s="2"/>
      <c r="F572" s="2"/>
      <c r="G572" s="2"/>
      <c r="H572" s="2"/>
      <c r="I572" s="2"/>
      <c r="J572" s="2"/>
      <c r="K572" s="2"/>
    </row>
    <row r="573" spans="2:11" x14ac:dyDescent="0.3">
      <c r="C573" s="2"/>
      <c r="D573" s="2"/>
      <c r="E573" s="2"/>
      <c r="F573" s="2"/>
      <c r="G573" s="2"/>
      <c r="H573" s="2"/>
      <c r="I573" s="2"/>
      <c r="J573" s="2"/>
      <c r="K573" s="2"/>
    </row>
    <row r="574" spans="2:11" x14ac:dyDescent="0.3">
      <c r="C574" s="2"/>
      <c r="D574" s="2"/>
      <c r="E574" s="2"/>
      <c r="F574" s="2"/>
      <c r="G574" s="2"/>
      <c r="H574" s="2"/>
      <c r="I574" s="2"/>
      <c r="J574" s="2"/>
      <c r="K574" s="2"/>
    </row>
    <row r="575" spans="2:11" x14ac:dyDescent="0.3">
      <c r="C575" s="2"/>
      <c r="D575" s="2"/>
      <c r="E575" s="2"/>
      <c r="F575" s="2"/>
      <c r="G575" s="2"/>
      <c r="H575" s="2"/>
      <c r="I575" s="2"/>
      <c r="J575" s="2"/>
      <c r="K575" s="2"/>
    </row>
    <row r="576" spans="2:11" x14ac:dyDescent="0.3">
      <c r="C576" s="2"/>
      <c r="D576" s="2"/>
      <c r="E576" s="2"/>
      <c r="F576" s="2"/>
      <c r="G576" s="2"/>
      <c r="H576" s="2"/>
      <c r="I576" s="2"/>
      <c r="J576" s="2"/>
      <c r="K576" s="2"/>
    </row>
    <row r="577" spans="3:11" x14ac:dyDescent="0.3">
      <c r="C577" s="2"/>
      <c r="D577" s="2"/>
      <c r="E577" s="2"/>
      <c r="F577" s="2"/>
      <c r="G577" s="2"/>
      <c r="H577" s="2"/>
      <c r="I577" s="2"/>
      <c r="J577" s="2"/>
      <c r="K577" s="2"/>
    </row>
    <row r="578" spans="3:11" x14ac:dyDescent="0.3">
      <c r="C578" s="2"/>
      <c r="D578" s="2"/>
      <c r="E578" s="2"/>
      <c r="F578" s="2"/>
      <c r="G578" s="2"/>
      <c r="H578" s="2"/>
      <c r="I578" s="2"/>
      <c r="J578" s="2"/>
      <c r="K578" s="2"/>
    </row>
    <row r="579" spans="3:11" x14ac:dyDescent="0.3">
      <c r="C579" s="2"/>
      <c r="D579" s="2"/>
      <c r="E579" s="2"/>
      <c r="F579" s="2"/>
      <c r="G579" s="2"/>
      <c r="H579" s="2"/>
      <c r="I579" s="2"/>
      <c r="J579" s="2"/>
      <c r="K579" s="2"/>
    </row>
    <row r="580" spans="3:11" x14ac:dyDescent="0.3">
      <c r="C580" s="2"/>
      <c r="D580" s="2"/>
      <c r="E580" s="2"/>
      <c r="F580" s="2"/>
      <c r="G580" s="2"/>
      <c r="H580" s="2"/>
      <c r="I580" s="2"/>
      <c r="J580" s="2"/>
      <c r="K580" s="2"/>
    </row>
    <row r="581" spans="3:11" x14ac:dyDescent="0.3">
      <c r="C581" s="2"/>
      <c r="D581" s="2"/>
      <c r="E581" s="2"/>
      <c r="F581" s="2"/>
      <c r="G581" s="2"/>
      <c r="H581" s="2"/>
      <c r="I581" s="2"/>
      <c r="J581" s="2"/>
      <c r="K581" s="2"/>
    </row>
    <row r="582" spans="3:11" x14ac:dyDescent="0.3">
      <c r="C582" s="2"/>
      <c r="D582" s="2"/>
      <c r="E582" s="2"/>
      <c r="F582" s="2"/>
      <c r="G582" s="2"/>
      <c r="H582" s="2"/>
      <c r="I582" s="2"/>
      <c r="J582" s="2"/>
      <c r="K582" s="2"/>
    </row>
    <row r="583" spans="3:11" x14ac:dyDescent="0.3">
      <c r="C583" s="2"/>
      <c r="D583" s="2"/>
      <c r="E583" s="2"/>
      <c r="F583" s="2"/>
      <c r="G583" s="2"/>
      <c r="H583" s="2"/>
      <c r="I583" s="2"/>
      <c r="J583" s="2"/>
      <c r="K583" s="2"/>
    </row>
    <row r="584" spans="3:11" x14ac:dyDescent="0.3">
      <c r="C584" s="2"/>
      <c r="D584" s="2"/>
      <c r="E584" s="2"/>
      <c r="F584" s="2"/>
      <c r="G584" s="2"/>
      <c r="H584" s="2"/>
      <c r="I584" s="2"/>
      <c r="J584" s="2"/>
      <c r="K584" s="2"/>
    </row>
    <row r="585" spans="3:11" x14ac:dyDescent="0.3">
      <c r="C585" s="2"/>
      <c r="D585" s="2"/>
      <c r="E585" s="2"/>
      <c r="F585" s="2"/>
      <c r="G585" s="2"/>
      <c r="H585" s="2"/>
      <c r="I585" s="2"/>
      <c r="J585" s="2"/>
      <c r="K585" s="2"/>
    </row>
    <row r="586" spans="3:11" x14ac:dyDescent="0.3">
      <c r="C586" s="2"/>
      <c r="D586" s="2"/>
      <c r="E586" s="2"/>
      <c r="F586" s="2"/>
      <c r="G586" s="2"/>
      <c r="H586" s="2"/>
      <c r="I586" s="2"/>
      <c r="J586" s="2"/>
      <c r="K586" s="2"/>
    </row>
    <row r="587" spans="3:11" x14ac:dyDescent="0.3">
      <c r="C587" s="2"/>
      <c r="D587" s="2"/>
      <c r="E587" s="2"/>
      <c r="F587" s="2"/>
      <c r="G587" s="2"/>
      <c r="H587" s="2"/>
      <c r="I587" s="2"/>
      <c r="J587" s="2"/>
      <c r="K587" s="2"/>
    </row>
    <row r="588" spans="3:11" x14ac:dyDescent="0.3">
      <c r="C588" s="2"/>
      <c r="D588" s="2"/>
      <c r="E588" s="2"/>
      <c r="F588" s="2"/>
      <c r="G588" s="2"/>
      <c r="H588" s="2"/>
      <c r="I588" s="2"/>
      <c r="J588" s="2"/>
      <c r="K588" s="2"/>
    </row>
    <row r="589" spans="3:11" x14ac:dyDescent="0.3">
      <c r="C589" s="2"/>
      <c r="D589" s="2"/>
      <c r="E589" s="2"/>
      <c r="F589" s="2"/>
      <c r="G589" s="2"/>
      <c r="H589" s="2"/>
      <c r="I589" s="2"/>
      <c r="J589" s="2"/>
      <c r="K589" s="2"/>
    </row>
    <row r="590" spans="3:11" x14ac:dyDescent="0.3">
      <c r="C590" s="2"/>
      <c r="D590" s="2"/>
      <c r="E590" s="2"/>
      <c r="F590" s="2"/>
      <c r="G590" s="2"/>
      <c r="H590" s="2"/>
      <c r="I590" s="2"/>
      <c r="J590" s="2"/>
      <c r="K590" s="2"/>
    </row>
    <row r="591" spans="3:11" x14ac:dyDescent="0.3">
      <c r="C591" s="2"/>
      <c r="D591" s="2"/>
      <c r="E591" s="2"/>
      <c r="F591" s="2"/>
      <c r="G591" s="2"/>
      <c r="H591" s="2"/>
      <c r="I591" s="2"/>
      <c r="J591" s="2"/>
      <c r="K591" s="2"/>
    </row>
    <row r="592" spans="3:11" x14ac:dyDescent="0.3">
      <c r="C592" s="2"/>
      <c r="D592" s="2"/>
      <c r="E592" s="2"/>
      <c r="F592" s="2"/>
      <c r="G592" s="2"/>
      <c r="H592" s="2"/>
      <c r="I592" s="2"/>
      <c r="J592" s="2"/>
      <c r="K592" s="2"/>
    </row>
    <row r="593" spans="3:11" x14ac:dyDescent="0.3">
      <c r="C593" s="2"/>
      <c r="D593" s="2"/>
      <c r="E593" s="2"/>
      <c r="F593" s="2"/>
      <c r="G593" s="2"/>
      <c r="H593" s="2"/>
      <c r="I593" s="2"/>
      <c r="J593" s="2"/>
      <c r="K593" s="2"/>
    </row>
    <row r="594" spans="3:11" x14ac:dyDescent="0.3">
      <c r="C594" s="2"/>
      <c r="D594" s="2"/>
      <c r="E594" s="2"/>
      <c r="F594" s="2"/>
      <c r="G594" s="2"/>
      <c r="H594" s="2"/>
      <c r="I594" s="2"/>
      <c r="J594" s="2"/>
      <c r="K594" s="2"/>
    </row>
    <row r="595" spans="3:11" x14ac:dyDescent="0.3">
      <c r="C595" s="2"/>
      <c r="D595" s="2"/>
      <c r="E595" s="2"/>
      <c r="F595" s="2"/>
      <c r="G595" s="2"/>
      <c r="H595" s="2"/>
      <c r="I595" s="2"/>
      <c r="J595" s="2"/>
      <c r="K595" s="2"/>
    </row>
    <row r="596" spans="3:11" x14ac:dyDescent="0.3">
      <c r="C596" s="2"/>
      <c r="D596" s="2"/>
      <c r="E596" s="2"/>
      <c r="F596" s="2"/>
      <c r="G596" s="2"/>
      <c r="H596" s="2"/>
      <c r="I596" s="2"/>
      <c r="J596" s="2"/>
      <c r="K596" s="2"/>
    </row>
    <row r="597" spans="3:11" x14ac:dyDescent="0.3">
      <c r="C597" s="2"/>
      <c r="D597" s="2"/>
      <c r="E597" s="2"/>
      <c r="F597" s="2"/>
      <c r="G597" s="2"/>
      <c r="H597" s="2"/>
      <c r="I597" s="2"/>
      <c r="J597" s="2"/>
      <c r="K597" s="2"/>
    </row>
    <row r="598" spans="3:11" x14ac:dyDescent="0.3">
      <c r="C598" s="2"/>
      <c r="D598" s="2"/>
      <c r="E598" s="2"/>
      <c r="F598" s="2"/>
      <c r="G598" s="2"/>
      <c r="H598" s="2"/>
      <c r="I598" s="2"/>
      <c r="J598" s="2"/>
      <c r="K598" s="2"/>
    </row>
    <row r="599" spans="3:11" x14ac:dyDescent="0.3">
      <c r="C599" s="2"/>
      <c r="D599" s="2"/>
      <c r="E599" s="2"/>
      <c r="F599" s="2"/>
      <c r="G599" s="2"/>
      <c r="H599" s="2"/>
      <c r="I599" s="2"/>
      <c r="J599" s="2"/>
      <c r="K599" s="2"/>
    </row>
    <row r="600" spans="3:11" x14ac:dyDescent="0.3">
      <c r="C600" s="2"/>
      <c r="D600" s="2"/>
      <c r="E600" s="2"/>
      <c r="F600" s="2"/>
      <c r="G600" s="2"/>
      <c r="H600" s="2"/>
      <c r="I600" s="2"/>
      <c r="J600" s="2"/>
      <c r="K600" s="2"/>
    </row>
    <row r="601" spans="3:11" x14ac:dyDescent="0.3">
      <c r="C601" s="2"/>
      <c r="D601" s="2"/>
      <c r="E601" s="2"/>
      <c r="F601" s="2"/>
      <c r="G601" s="2"/>
      <c r="H601" s="2"/>
      <c r="I601" s="2"/>
      <c r="J601" s="2"/>
      <c r="K601" s="2"/>
    </row>
    <row r="602" spans="3:11" x14ac:dyDescent="0.3">
      <c r="C602" s="2"/>
      <c r="D602" s="2"/>
      <c r="E602" s="2"/>
      <c r="F602" s="2"/>
      <c r="G602" s="2"/>
      <c r="H602" s="2"/>
      <c r="I602" s="2"/>
      <c r="J602" s="2"/>
      <c r="K602" s="2"/>
    </row>
    <row r="603" spans="3:11" x14ac:dyDescent="0.3">
      <c r="C603" s="2"/>
      <c r="D603" s="2"/>
      <c r="E603" s="2"/>
      <c r="F603" s="2"/>
      <c r="G603" s="2"/>
      <c r="H603" s="2"/>
      <c r="I603" s="2"/>
      <c r="J603" s="2"/>
      <c r="K603" s="2"/>
    </row>
    <row r="604" spans="3:11" x14ac:dyDescent="0.3">
      <c r="C604" s="2"/>
      <c r="D604" s="2"/>
      <c r="E604" s="2"/>
      <c r="F604" s="2"/>
      <c r="G604" s="2"/>
      <c r="H604" s="2"/>
      <c r="I604" s="2"/>
      <c r="J604" s="2"/>
      <c r="K604" s="2"/>
    </row>
    <row r="605" spans="3:11" x14ac:dyDescent="0.3">
      <c r="C605" s="2"/>
      <c r="D605" s="2"/>
      <c r="E605" s="2"/>
      <c r="F605" s="2"/>
      <c r="G605" s="2"/>
      <c r="H605" s="2"/>
      <c r="I605" s="2"/>
      <c r="J605" s="2"/>
      <c r="K605" s="2"/>
    </row>
    <row r="606" spans="3:11" x14ac:dyDescent="0.3">
      <c r="C606" s="2"/>
      <c r="D606" s="2"/>
      <c r="E606" s="2"/>
      <c r="F606" s="2"/>
      <c r="G606" s="2"/>
      <c r="H606" s="2"/>
      <c r="I606" s="2"/>
      <c r="J606" s="2"/>
      <c r="K606" s="2"/>
    </row>
    <row r="607" spans="3:11" x14ac:dyDescent="0.3">
      <c r="C607" s="2"/>
      <c r="D607" s="2"/>
      <c r="E607" s="2"/>
      <c r="F607" s="2"/>
      <c r="G607" s="2"/>
      <c r="H607" s="2"/>
      <c r="I607" s="2"/>
      <c r="J607" s="2"/>
      <c r="K607" s="2"/>
    </row>
    <row r="608" spans="3:11" x14ac:dyDescent="0.3">
      <c r="C608" s="2"/>
      <c r="D608" s="2"/>
      <c r="E608" s="2"/>
      <c r="F608" s="2"/>
      <c r="G608" s="2"/>
      <c r="H608" s="2"/>
      <c r="I608" s="2"/>
      <c r="J608" s="2"/>
      <c r="K608" s="2"/>
    </row>
    <row r="609" spans="3:11" x14ac:dyDescent="0.3">
      <c r="C609" s="2"/>
      <c r="D609" s="2"/>
      <c r="E609" s="2"/>
      <c r="F609" s="2"/>
      <c r="G609" s="2"/>
      <c r="H609" s="2"/>
      <c r="I609" s="2"/>
      <c r="J609" s="2"/>
      <c r="K609" s="2"/>
    </row>
    <row r="610" spans="3:11" x14ac:dyDescent="0.3">
      <c r="C610" s="2"/>
      <c r="D610" s="2"/>
      <c r="E610" s="2"/>
      <c r="F610" s="2"/>
      <c r="G610" s="2"/>
      <c r="H610" s="2"/>
      <c r="I610" s="2"/>
      <c r="J610" s="2"/>
      <c r="K610" s="2"/>
    </row>
    <row r="611" spans="3:11" x14ac:dyDescent="0.3">
      <c r="C611" s="2"/>
      <c r="D611" s="2"/>
      <c r="E611" s="2"/>
      <c r="F611" s="2"/>
      <c r="G611" s="2"/>
      <c r="H611" s="2"/>
      <c r="I611" s="2"/>
      <c r="J611" s="2"/>
      <c r="K611" s="2"/>
    </row>
    <row r="612" spans="3:11" x14ac:dyDescent="0.3">
      <c r="C612" s="2"/>
      <c r="D612" s="2"/>
      <c r="E612" s="2"/>
      <c r="F612" s="2"/>
      <c r="G612" s="2"/>
      <c r="H612" s="2"/>
      <c r="I612" s="2"/>
      <c r="J612" s="2"/>
      <c r="K612" s="2"/>
    </row>
    <row r="613" spans="3:11" x14ac:dyDescent="0.3">
      <c r="C613" s="2"/>
      <c r="D613" s="2"/>
      <c r="E613" s="2"/>
      <c r="F613" s="2"/>
      <c r="G613" s="2"/>
      <c r="H613" s="2"/>
      <c r="I613" s="2"/>
      <c r="J613" s="2"/>
      <c r="K613" s="2"/>
    </row>
    <row r="614" spans="3:11" x14ac:dyDescent="0.3">
      <c r="C614" s="2"/>
      <c r="D614" s="2"/>
      <c r="E614" s="2"/>
      <c r="F614" s="2"/>
      <c r="G614" s="2"/>
      <c r="H614" s="2"/>
      <c r="I614" s="2"/>
      <c r="J614" s="2"/>
      <c r="K614" s="2"/>
    </row>
    <row r="615" spans="3:11" x14ac:dyDescent="0.3">
      <c r="C615" s="2"/>
      <c r="D615" s="2"/>
      <c r="E615" s="2"/>
      <c r="F615" s="2"/>
      <c r="G615" s="2"/>
      <c r="H615" s="2"/>
      <c r="I615" s="2"/>
      <c r="J615" s="2"/>
      <c r="K615" s="2"/>
    </row>
    <row r="616" spans="3:11" x14ac:dyDescent="0.3">
      <c r="C616" s="2"/>
      <c r="D616" s="2"/>
      <c r="E616" s="2"/>
      <c r="F616" s="2"/>
      <c r="G616" s="2"/>
      <c r="H616" s="2"/>
      <c r="I616" s="2"/>
      <c r="J616" s="2"/>
      <c r="K616" s="2"/>
    </row>
    <row r="617" spans="3:11" x14ac:dyDescent="0.3">
      <c r="C617" s="2"/>
      <c r="D617" s="2"/>
      <c r="E617" s="2"/>
      <c r="F617" s="2"/>
      <c r="G617" s="2"/>
      <c r="H617" s="2"/>
      <c r="I617" s="2"/>
      <c r="J617" s="2"/>
      <c r="K617" s="2"/>
    </row>
    <row r="618" spans="3:11" x14ac:dyDescent="0.3">
      <c r="C618" s="2"/>
      <c r="D618" s="2"/>
      <c r="E618" s="2"/>
      <c r="F618" s="2"/>
      <c r="G618" s="2"/>
      <c r="H618" s="2"/>
      <c r="I618" s="2"/>
      <c r="J618" s="2"/>
      <c r="K618" s="2"/>
    </row>
    <row r="619" spans="3:11" x14ac:dyDescent="0.3">
      <c r="C619" s="2"/>
      <c r="D619" s="2"/>
      <c r="E619" s="2"/>
      <c r="F619" s="2"/>
      <c r="G619" s="2"/>
      <c r="H619" s="2"/>
      <c r="I619" s="2"/>
      <c r="J619" s="2"/>
      <c r="K619" s="2"/>
    </row>
    <row r="620" spans="3:11" x14ac:dyDescent="0.3">
      <c r="C620" s="2"/>
      <c r="D620" s="2"/>
      <c r="E620" s="2"/>
      <c r="F620" s="2"/>
      <c r="G620" s="2"/>
      <c r="H620" s="2"/>
      <c r="I620" s="2"/>
      <c r="J620" s="2"/>
      <c r="K620" s="2"/>
    </row>
    <row r="621" spans="3:11" x14ac:dyDescent="0.3">
      <c r="C621" s="2"/>
      <c r="D621" s="2"/>
      <c r="E621" s="2"/>
      <c r="F621" s="2"/>
      <c r="G621" s="2"/>
      <c r="H621" s="2"/>
      <c r="I621" s="2"/>
      <c r="J621" s="2"/>
      <c r="K621" s="2"/>
    </row>
    <row r="622" spans="3:11" x14ac:dyDescent="0.3">
      <c r="C622" s="2"/>
      <c r="D622" s="2"/>
      <c r="E622" s="2"/>
      <c r="F622" s="2"/>
      <c r="G622" s="2"/>
      <c r="H622" s="2"/>
      <c r="I622" s="2"/>
      <c r="J622" s="2"/>
      <c r="K622" s="2"/>
    </row>
    <row r="623" spans="3:11" x14ac:dyDescent="0.3">
      <c r="C623" s="2"/>
      <c r="D623" s="2"/>
      <c r="E623" s="2"/>
      <c r="F623" s="2"/>
      <c r="G623" s="2"/>
      <c r="H623" s="2"/>
      <c r="I623" s="2"/>
      <c r="J623" s="2"/>
      <c r="K623" s="2"/>
    </row>
    <row r="624" spans="3:11" x14ac:dyDescent="0.3">
      <c r="C624" s="2"/>
      <c r="D624" s="2"/>
      <c r="E624" s="2"/>
      <c r="F624" s="2"/>
      <c r="G624" s="2"/>
      <c r="H624" s="2"/>
      <c r="I624" s="2"/>
      <c r="J624" s="2"/>
      <c r="K624" s="2"/>
    </row>
    <row r="625" spans="3:11" x14ac:dyDescent="0.3">
      <c r="C625" s="2"/>
      <c r="D625" s="2"/>
      <c r="E625" s="2"/>
      <c r="F625" s="2"/>
      <c r="G625" s="2"/>
      <c r="H625" s="2"/>
      <c r="I625" s="2"/>
      <c r="J625" s="2"/>
      <c r="K625" s="2"/>
    </row>
    <row r="626" spans="3:11" x14ac:dyDescent="0.3">
      <c r="C626" s="2"/>
      <c r="D626" s="2"/>
      <c r="E626" s="2"/>
      <c r="F626" s="2"/>
      <c r="G626" s="2"/>
      <c r="H626" s="2"/>
      <c r="I626" s="2"/>
      <c r="J626" s="2"/>
      <c r="K626" s="2"/>
    </row>
    <row r="627" spans="3:11" x14ac:dyDescent="0.3">
      <c r="C627" s="2"/>
      <c r="D627" s="2"/>
      <c r="E627" s="2"/>
      <c r="F627" s="2"/>
      <c r="G627" s="2"/>
      <c r="H627" s="2"/>
      <c r="I627" s="2"/>
      <c r="J627" s="2"/>
      <c r="K627" s="2"/>
    </row>
    <row r="628" spans="3:11" x14ac:dyDescent="0.3">
      <c r="C628" s="2"/>
      <c r="D628" s="2"/>
      <c r="E628" s="2"/>
      <c r="F628" s="2"/>
      <c r="G628" s="2"/>
      <c r="H628" s="2"/>
      <c r="I628" s="2"/>
      <c r="J628" s="2"/>
      <c r="K628" s="2"/>
    </row>
    <row r="629" spans="3:11" x14ac:dyDescent="0.3">
      <c r="C629" s="2"/>
      <c r="D629" s="2"/>
      <c r="E629" s="2"/>
      <c r="F629" s="2"/>
      <c r="G629" s="2"/>
      <c r="H629" s="2"/>
      <c r="I629" s="2"/>
      <c r="J629" s="2"/>
      <c r="K629" s="2"/>
    </row>
    <row r="630" spans="3:11" x14ac:dyDescent="0.3">
      <c r="C630" s="2"/>
      <c r="D630" s="2"/>
      <c r="E630" s="2"/>
      <c r="F630" s="2"/>
      <c r="G630" s="2"/>
      <c r="H630" s="2"/>
      <c r="I630" s="2"/>
      <c r="J630" s="2"/>
      <c r="K630" s="2"/>
    </row>
    <row r="631" spans="3:11" x14ac:dyDescent="0.3">
      <c r="C631" s="2"/>
      <c r="D631" s="2"/>
      <c r="E631" s="2"/>
      <c r="F631" s="2"/>
      <c r="G631" s="2"/>
      <c r="H631" s="2"/>
      <c r="I631" s="2"/>
      <c r="J631" s="2"/>
      <c r="K631" s="2"/>
    </row>
    <row r="632" spans="3:11" x14ac:dyDescent="0.3">
      <c r="C632" s="2"/>
      <c r="D632" s="2"/>
      <c r="E632" s="2"/>
      <c r="F632" s="2"/>
      <c r="G632" s="2"/>
      <c r="H632" s="2"/>
      <c r="I632" s="2"/>
      <c r="J632" s="2"/>
      <c r="K632" s="2"/>
    </row>
    <row r="633" spans="3:11" x14ac:dyDescent="0.3">
      <c r="C633" s="2"/>
      <c r="D633" s="2"/>
      <c r="E633" s="2"/>
      <c r="F633" s="2"/>
      <c r="G633" s="2"/>
      <c r="H633" s="2"/>
      <c r="I633" s="2"/>
      <c r="J633" s="2"/>
      <c r="K633" s="2"/>
    </row>
    <row r="634" spans="3:11" x14ac:dyDescent="0.3">
      <c r="C634" s="2"/>
      <c r="D634" s="2"/>
      <c r="E634" s="2"/>
      <c r="F634" s="2"/>
      <c r="G634" s="2"/>
      <c r="H634" s="2"/>
      <c r="I634" s="2"/>
      <c r="J634" s="2"/>
      <c r="K634" s="2"/>
    </row>
    <row r="635" spans="3:11" x14ac:dyDescent="0.3">
      <c r="C635" s="2"/>
      <c r="D635" s="2"/>
      <c r="E635" s="2"/>
      <c r="F635" s="2"/>
      <c r="G635" s="2"/>
      <c r="H635" s="2"/>
      <c r="I635" s="2"/>
      <c r="J635" s="2"/>
      <c r="K635" s="2"/>
    </row>
    <row r="636" spans="3:11" x14ac:dyDescent="0.3">
      <c r="C636" s="2"/>
      <c r="D636" s="2"/>
      <c r="E636" s="2"/>
      <c r="F636" s="2"/>
      <c r="G636" s="2"/>
      <c r="H636" s="2"/>
      <c r="I636" s="2"/>
      <c r="J636" s="2"/>
      <c r="K636" s="2"/>
    </row>
    <row r="637" spans="3:11" x14ac:dyDescent="0.3">
      <c r="C637" s="2"/>
      <c r="D637" s="2"/>
      <c r="E637" s="2"/>
      <c r="F637" s="2"/>
      <c r="G637" s="2"/>
      <c r="H637" s="2"/>
      <c r="I637" s="2"/>
      <c r="J637" s="2"/>
      <c r="K637" s="2"/>
    </row>
    <row r="638" spans="3:11" x14ac:dyDescent="0.3">
      <c r="C638" s="2"/>
      <c r="D638" s="2"/>
      <c r="E638" s="2"/>
      <c r="F638" s="2"/>
      <c r="G638" s="2"/>
      <c r="H638" s="2"/>
      <c r="I638" s="2"/>
      <c r="J638" s="2"/>
      <c r="K638" s="2"/>
    </row>
    <row r="639" spans="3:11" x14ac:dyDescent="0.3">
      <c r="C639" s="2"/>
      <c r="D639" s="2"/>
      <c r="E639" s="2"/>
      <c r="F639" s="2"/>
      <c r="G639" s="2"/>
      <c r="H639" s="2"/>
      <c r="I639" s="2"/>
      <c r="J639" s="2"/>
      <c r="K639" s="2"/>
    </row>
    <row r="640" spans="3:11" x14ac:dyDescent="0.3">
      <c r="C640" s="2"/>
      <c r="D640" s="2"/>
      <c r="E640" s="2"/>
      <c r="F640" s="2"/>
      <c r="G640" s="2"/>
      <c r="H640" s="2"/>
      <c r="I640" s="2"/>
      <c r="J640" s="2"/>
      <c r="K640" s="2"/>
    </row>
    <row r="641" spans="3:11" x14ac:dyDescent="0.3">
      <c r="C641" s="2"/>
      <c r="D641" s="2"/>
      <c r="E641" s="2"/>
      <c r="F641" s="2"/>
      <c r="G641" s="2"/>
      <c r="H641" s="2"/>
      <c r="I641" s="2"/>
      <c r="J641" s="2"/>
      <c r="K641" s="2"/>
    </row>
    <row r="642" spans="3:11" x14ac:dyDescent="0.3">
      <c r="C642" s="2"/>
      <c r="D642" s="2"/>
      <c r="E642" s="2"/>
      <c r="F642" s="2"/>
      <c r="G642" s="2"/>
      <c r="H642" s="2"/>
      <c r="I642" s="2"/>
      <c r="J642" s="2"/>
      <c r="K642" s="2"/>
    </row>
    <row r="643" spans="3:11" x14ac:dyDescent="0.3">
      <c r="C643" s="2"/>
      <c r="D643" s="2"/>
      <c r="E643" s="2"/>
      <c r="F643" s="2"/>
      <c r="G643" s="2"/>
      <c r="H643" s="2"/>
      <c r="I643" s="2"/>
      <c r="J643" s="2"/>
      <c r="K643" s="2"/>
    </row>
    <row r="644" spans="3:11" x14ac:dyDescent="0.3">
      <c r="C644" s="2"/>
      <c r="D644" s="2"/>
      <c r="E644" s="2"/>
      <c r="F644" s="2"/>
      <c r="G644" s="2"/>
      <c r="H644" s="2"/>
      <c r="I644" s="2"/>
      <c r="J644" s="2"/>
      <c r="K644" s="2"/>
    </row>
    <row r="645" spans="3:11" x14ac:dyDescent="0.3">
      <c r="C645" s="2"/>
      <c r="D645" s="2"/>
      <c r="E645" s="2"/>
      <c r="F645" s="2"/>
      <c r="G645" s="2"/>
      <c r="H645" s="2"/>
      <c r="I645" s="2"/>
      <c r="J645" s="2"/>
      <c r="K645" s="2"/>
    </row>
    <row r="646" spans="3:11" x14ac:dyDescent="0.3">
      <c r="C646" s="2"/>
      <c r="D646" s="2"/>
      <c r="E646" s="2"/>
      <c r="F646" s="2"/>
      <c r="G646" s="2"/>
      <c r="H646" s="2"/>
      <c r="I646" s="2"/>
      <c r="J646" s="2"/>
      <c r="K646" s="2"/>
    </row>
    <row r="647" spans="3:11" x14ac:dyDescent="0.3">
      <c r="C647" s="2"/>
      <c r="D647" s="2"/>
      <c r="E647" s="2"/>
      <c r="F647" s="2"/>
      <c r="G647" s="2"/>
      <c r="H647" s="2"/>
      <c r="I647" s="2"/>
      <c r="J647" s="2"/>
      <c r="K647" s="2"/>
    </row>
    <row r="648" spans="3:11" x14ac:dyDescent="0.3">
      <c r="C648" s="2"/>
      <c r="D648" s="2"/>
      <c r="E648" s="2"/>
      <c r="F648" s="2"/>
      <c r="G648" s="2"/>
      <c r="H648" s="2"/>
      <c r="I648" s="2"/>
      <c r="J648" s="2"/>
      <c r="K648" s="2"/>
    </row>
    <row r="649" spans="3:11" x14ac:dyDescent="0.3">
      <c r="C649" s="2"/>
      <c r="D649" s="2"/>
      <c r="E649" s="2"/>
      <c r="F649" s="2"/>
      <c r="G649" s="2"/>
      <c r="H649" s="2"/>
      <c r="I649" s="2"/>
      <c r="J649" s="2"/>
      <c r="K649" s="2"/>
    </row>
    <row r="650" spans="3:11" x14ac:dyDescent="0.3">
      <c r="C650" s="2"/>
      <c r="D650" s="2"/>
      <c r="E650" s="2"/>
      <c r="F650" s="2"/>
      <c r="G650" s="2"/>
      <c r="H650" s="2"/>
      <c r="I650" s="2"/>
      <c r="J650" s="2"/>
      <c r="K650" s="2"/>
    </row>
    <row r="651" spans="3:11" x14ac:dyDescent="0.3">
      <c r="C651" s="2"/>
      <c r="D651" s="2"/>
      <c r="E651" s="2"/>
      <c r="F651" s="2"/>
      <c r="G651" s="2"/>
      <c r="H651" s="2"/>
      <c r="I651" s="2"/>
      <c r="J651" s="2"/>
      <c r="K651" s="2"/>
    </row>
    <row r="652" spans="3:11" x14ac:dyDescent="0.3">
      <c r="C652" s="2"/>
      <c r="D652" s="2"/>
      <c r="E652" s="2"/>
      <c r="F652" s="2"/>
      <c r="G652" s="2"/>
      <c r="H652" s="2"/>
      <c r="I652" s="2"/>
      <c r="J652" s="2"/>
      <c r="K652" s="2"/>
    </row>
    <row r="653" spans="3:11" x14ac:dyDescent="0.3">
      <c r="C653" s="2"/>
      <c r="D653" s="2"/>
      <c r="E653" s="2"/>
      <c r="F653" s="2"/>
      <c r="G653" s="2"/>
      <c r="H653" s="2"/>
      <c r="I653" s="2"/>
      <c r="J653" s="2"/>
      <c r="K653" s="2"/>
    </row>
    <row r="654" spans="3:11" x14ac:dyDescent="0.3">
      <c r="C654" s="2"/>
      <c r="D654" s="2"/>
      <c r="E654" s="2"/>
      <c r="F654" s="2"/>
      <c r="G654" s="2"/>
      <c r="H654" s="2"/>
      <c r="I654" s="2"/>
      <c r="J654" s="2"/>
      <c r="K654" s="2"/>
    </row>
    <row r="655" spans="3:11" x14ac:dyDescent="0.3">
      <c r="C655" s="2"/>
      <c r="D655" s="2"/>
      <c r="E655" s="2"/>
      <c r="F655" s="2"/>
      <c r="G655" s="2"/>
      <c r="H655" s="2"/>
      <c r="I655" s="2"/>
      <c r="J655" s="2"/>
      <c r="K655" s="2"/>
    </row>
    <row r="656" spans="3:11" x14ac:dyDescent="0.3">
      <c r="C656" s="2"/>
      <c r="D656" s="2"/>
      <c r="E656" s="2"/>
      <c r="F656" s="2"/>
      <c r="G656" s="2"/>
      <c r="H656" s="2"/>
      <c r="I656" s="2"/>
      <c r="J656" s="2"/>
      <c r="K656" s="2"/>
    </row>
    <row r="657" spans="3:11" x14ac:dyDescent="0.3">
      <c r="C657" s="2"/>
      <c r="D657" s="2"/>
      <c r="E657" s="2"/>
      <c r="F657" s="2"/>
      <c r="G657" s="2"/>
      <c r="H657" s="2"/>
      <c r="I657" s="2"/>
      <c r="J657" s="2"/>
      <c r="K657" s="2"/>
    </row>
    <row r="658" spans="3:11" x14ac:dyDescent="0.3">
      <c r="C658" s="2"/>
      <c r="D658" s="2"/>
      <c r="E658" s="2"/>
      <c r="F658" s="2"/>
      <c r="G658" s="2"/>
      <c r="H658" s="2"/>
      <c r="I658" s="2"/>
      <c r="J658" s="2"/>
      <c r="K658" s="2"/>
    </row>
    <row r="659" spans="3:11" x14ac:dyDescent="0.3">
      <c r="C659" s="2"/>
      <c r="D659" s="2"/>
      <c r="E659" s="2"/>
      <c r="F659" s="2"/>
      <c r="G659" s="2"/>
      <c r="H659" s="2"/>
      <c r="I659" s="2"/>
      <c r="J659" s="2"/>
      <c r="K659" s="2"/>
    </row>
    <row r="660" spans="3:11" x14ac:dyDescent="0.3">
      <c r="C660" s="2"/>
      <c r="D660" s="2"/>
      <c r="E660" s="2"/>
      <c r="F660" s="2"/>
      <c r="G660" s="2"/>
      <c r="H660" s="2"/>
      <c r="I660" s="2"/>
      <c r="J660" s="2"/>
      <c r="K660" s="2"/>
    </row>
    <row r="661" spans="3:11" x14ac:dyDescent="0.3">
      <c r="C661" s="2"/>
      <c r="D661" s="2"/>
      <c r="E661" s="2"/>
      <c r="F661" s="2"/>
      <c r="G661" s="2"/>
      <c r="H661" s="2"/>
      <c r="I661" s="2"/>
      <c r="J661" s="2"/>
      <c r="K661" s="2"/>
    </row>
  </sheetData>
  <conditionalFormatting sqref="F74">
    <cfRule type="expression" dxfId="7" priority="11">
      <formula>SUM($F74:F74)&lt;-100</formula>
    </cfRule>
  </conditionalFormatting>
  <conditionalFormatting sqref="I145">
    <cfRule type="cellIs" dxfId="6" priority="8" operator="greaterThan">
      <formula>-3</formula>
    </cfRule>
  </conditionalFormatting>
  <conditionalFormatting sqref="I83">
    <cfRule type="cellIs" dxfId="5" priority="7" operator="greaterThan">
      <formula>I$325+I$329</formula>
    </cfRule>
  </conditionalFormatting>
  <conditionalFormatting sqref="G74">
    <cfRule type="expression" dxfId="4" priority="6">
      <formula>SUM($F74:G74)&lt;-100</formula>
    </cfRule>
  </conditionalFormatting>
  <conditionalFormatting sqref="F74:I74">
    <cfRule type="expression" dxfId="3" priority="5">
      <formula>SUM($F74:F74)&lt;-100</formula>
    </cfRule>
  </conditionalFormatting>
  <conditionalFormatting sqref="H83">
    <cfRule type="cellIs" dxfId="2" priority="3" operator="greaterThan">
      <formula>H$325+H$329</formula>
    </cfRule>
  </conditionalFormatting>
  <conditionalFormatting sqref="G83">
    <cfRule type="cellIs" dxfId="1" priority="2" operator="greaterThan">
      <formula>G$325+G$329</formula>
    </cfRule>
  </conditionalFormatting>
  <conditionalFormatting sqref="F83">
    <cfRule type="cellIs" dxfId="0" priority="1" operator="greaterThan">
      <formula>F$325+F$329</formula>
    </cfRule>
  </conditionalFormatting>
  <dataValidations count="7">
    <dataValidation type="decimal" operator="lessThanOrEqual" allowBlank="1" showInputMessage="1" showErrorMessage="1" errorTitle="Decrease (-)" error="Please input a figure less than or equal zero." sqref="F268:J268" xr:uid="{E57369E5-861B-448F-B15E-ADA0AE01AE9F}">
      <formula1>0</formula1>
    </dataValidation>
    <dataValidation type="decimal" operator="greaterThanOrEqual" allowBlank="1" showInputMessage="1" showErrorMessage="1" errorTitle="Increase (+)" error="Please input a figure greater than or equal to zero." sqref="J60:J62 F264:J264 F261:J262" xr:uid="{311A6A40-ACBF-49A5-ABCC-4F9F8B11BFBD}">
      <formula1>0</formula1>
    </dataValidation>
    <dataValidation type="list" allowBlank="1" showInputMessage="1" showErrorMessage="1" sqref="C32" xr:uid="{5B9BE26B-7A0B-4920-BE22-E15762A2B3D2}">
      <formula1>$C$305:$C$306</formula1>
    </dataValidation>
    <dataValidation type="list" allowBlank="1" showInputMessage="1" showErrorMessage="1" sqref="C36" xr:uid="{7DFEA730-F84D-4C6A-A0E1-85660E3249A5}">
      <formula1>$C$309:$C$310</formula1>
    </dataValidation>
    <dataValidation type="list" allowBlank="1" showInputMessage="1" showErrorMessage="1" sqref="C40" xr:uid="{D2DEF04B-E370-4E80-8AEC-7EC211DE3B90}">
      <formula1>$C$313:$C$314</formula1>
    </dataValidation>
    <dataValidation type="list" allowBlank="1" showInputMessage="1" showErrorMessage="1" sqref="C48" xr:uid="{BBB945A9-CFF5-4BAB-8AE7-7782F763A39E}">
      <formula1>$C$321:$C$322</formula1>
    </dataValidation>
    <dataValidation type="list" allowBlank="1" showInputMessage="1" showErrorMessage="1" sqref="C44" xr:uid="{779BA3F3-DEA9-40D0-AD6A-D2516CF9375D}">
      <formula1>$C$317:$C$318</formula1>
    </dataValidation>
  </dataValidations>
  <hyperlinks>
    <hyperlink ref="C58" location="'Fiscal Space Calculator'!C202" display="Here are some examples of illustrative tax and spending changes" xr:uid="{2793A39F-F4E8-42B2-ADF2-E96CEC93BAB1}"/>
    <hyperlink ref="C235" r:id="rId1" display="Ready Reckoner" xr:uid="{9559D839-855E-41F7-97D4-22C0B6A3B822}"/>
    <hyperlink ref="C236" r:id="rId2" xr:uid="{C027AF86-FC1E-4351-A58E-8275EB6D938C}"/>
    <hyperlink ref="C237" r:id="rId3" xr:uid="{4C02E556-66FA-46B4-BECB-A04099A77A94}"/>
  </hyperlinks>
  <pageMargins left="0.70866141732283472" right="0.70866141732283472" top="0.74803149606299213" bottom="0.74803149606299213" header="0.31496062992125984" footer="0.31496062992125984"/>
  <pageSetup paperSize="9" scale="60" orientation="portrait" r:id="rId4"/>
  <ignoredErrors>
    <ignoredError sqref="F139:I139 G65:H65" formulaRange="1"/>
  </ignoredError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F80E0869AE6F47834C62031B984606" ma:contentTypeVersion="12" ma:contentTypeDescription="Create a new document." ma:contentTypeScope="" ma:versionID="304035a83b3af578e820e14165a482a7">
  <xsd:schema xmlns:xsd="http://www.w3.org/2001/XMLSchema" xmlns:xs="http://www.w3.org/2001/XMLSchema" xmlns:p="http://schemas.microsoft.com/office/2006/metadata/properties" xmlns:ns2="dea0b20c-aebf-48c8-b046-9030827dd5cd" xmlns:ns3="d9b20b17-c081-4438-907a-bf68943de19a" targetNamespace="http://schemas.microsoft.com/office/2006/metadata/properties" ma:root="true" ma:fieldsID="95796c36865c92b33f08fe729c9e86ff" ns2:_="" ns3:_="">
    <xsd:import namespace="dea0b20c-aebf-48c8-b046-9030827dd5cd"/>
    <xsd:import namespace="d9b20b17-c081-4438-907a-bf68943de1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0b20c-aebf-48c8-b046-9030827dd5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b20b17-c081-4438-907a-bf68943de19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44028A-94A4-4720-B59F-5C99807F27BE}">
  <ds:schemaRefs>
    <ds:schemaRef ds:uri="http://schemas.microsoft.com/sharepoint/v3/contenttype/forms"/>
  </ds:schemaRefs>
</ds:datastoreItem>
</file>

<file path=customXml/itemProps2.xml><?xml version="1.0" encoding="utf-8"?>
<ds:datastoreItem xmlns:ds="http://schemas.openxmlformats.org/officeDocument/2006/customXml" ds:itemID="{0F5C328C-1E2B-4213-B90A-7F3B44F71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a0b20c-aebf-48c8-b046-9030827dd5cd"/>
    <ds:schemaRef ds:uri="d9b20b17-c081-4438-907a-bf68943de1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0C28EB-1E86-450B-AB80-72213650BACE}">
  <ds:schemaRefs>
    <ds:schemaRef ds:uri="http://schemas.microsoft.com/office/2006/documentManagement/types"/>
    <ds:schemaRef ds:uri="http://purl.org/dc/elements/1.1/"/>
    <ds:schemaRef ds:uri="http://schemas.microsoft.com/office/infopath/2007/PartnerControls"/>
    <ds:schemaRef ds:uri="b43fc636-4039-41c6-8f68-66dacc53ed65"/>
    <ds:schemaRef ds:uri="9b652517-ba99-48f9-b92e-9a27eeaed7aa"/>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Fiscal Space Calculator</vt:lpstr>
      <vt:lpstr>Calculator</vt:lpstr>
      <vt:lpstr>CalculatorYear</vt:lpstr>
      <vt:lpstr>Controls</vt:lpstr>
      <vt:lpstr>ControlsVariable</vt:lpstr>
      <vt:lpstr>ControlsYear</vt:lpstr>
      <vt:lpstr>'Fiscal Space Calculator'!Print_Area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Timoney</dc:creator>
  <cp:keywords/>
  <dc:description/>
  <cp:lastModifiedBy>Eddie Casey</cp:lastModifiedBy>
  <cp:revision/>
  <dcterms:created xsi:type="dcterms:W3CDTF">2019-04-08T12:50:31Z</dcterms:created>
  <dcterms:modified xsi:type="dcterms:W3CDTF">2021-07-16T11:32:56Z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0x010100C0F80E0869AE6F47834C62031B984606</vt:lpwstr>
  </property>
</Properties>
</file>