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ttps://fiscalcouncil.sharepoint.com/sites/Secretariat/Shared Documents/Fiscal Space Calculator 2024/"/>
    </mc:Choice>
  </mc:AlternateContent>
  <xr:revisionPtr revIDLastSave="2980" documentId="8_{97BE4F31-6487-410A-AE2B-38850E68A706}" xr6:coauthVersionLast="47" xr6:coauthVersionMax="47" xr10:uidLastSave="{9EC76827-D9B2-4312-BFBF-75C5993664E4}"/>
  <bookViews>
    <workbookView xWindow="-98" yWindow="-98" windowWidth="21795" windowHeight="12975" activeTab="1" xr2:uid="{00000000-000D-0000-FFFF-FFFF00000000}"/>
  </bookViews>
  <sheets>
    <sheet name="Intro" sheetId="2" r:id="rId1"/>
    <sheet name="Budgetary Resources Calculator" sheetId="1" r:id="rId2"/>
  </sheets>
  <definedNames>
    <definedName name="Calculator">'Budgetary Resources Calculator'!$1:$1048576</definedName>
    <definedName name="CalculatorYear">'Budgetary Resources Calculator'!$6:$6</definedName>
    <definedName name="Controls">'Budgetary Resources Calculator'!$C$318:$K$374</definedName>
    <definedName name="ControlsVariable">'Budgetary Resources Calculator'!$C$318:$C$374</definedName>
    <definedName name="ControlsYear">'Budgetary Resources Calculator'!$C$318:$K$318</definedName>
    <definedName name="_xlnm.Print_Area" localSheetId="1">'Budgetary Resources Calculator'!$B$2:$K$139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7" i="1" l="1"/>
  <c r="I177" i="1"/>
  <c r="G285" i="1"/>
  <c r="G286" i="1"/>
  <c r="G313" i="1"/>
  <c r="G308" i="1"/>
  <c r="M175" i="1" l="1"/>
  <c r="M174" i="1"/>
  <c r="E185" i="1"/>
  <c r="F185" i="1"/>
  <c r="C39" i="1"/>
  <c r="H373" i="1"/>
  <c r="I373" i="1"/>
  <c r="J373" i="1"/>
  <c r="K373" i="1"/>
  <c r="G373" i="1"/>
  <c r="D100" i="1"/>
  <c r="M60" i="1"/>
  <c r="M59" i="1"/>
  <c r="M58" i="1"/>
  <c r="K308" i="1"/>
  <c r="F291" i="1"/>
  <c r="H166" i="1"/>
  <c r="M166" i="1" s="1"/>
  <c r="F300" i="1"/>
  <c r="F446" i="1" s="1"/>
  <c r="J49" i="1"/>
  <c r="I49" i="1"/>
  <c r="H49" i="1"/>
  <c r="G49" i="1"/>
  <c r="K49" i="1"/>
  <c r="G379" i="1"/>
  <c r="G359" i="1" s="1"/>
  <c r="G358" i="1"/>
  <c r="H358" i="1"/>
  <c r="I358" i="1"/>
  <c r="J358" i="1"/>
  <c r="K358" i="1"/>
  <c r="H359" i="1"/>
  <c r="I359" i="1"/>
  <c r="J359" i="1"/>
  <c r="K359" i="1"/>
  <c r="I338" i="1"/>
  <c r="J338" i="1" s="1"/>
  <c r="K338" i="1" s="1"/>
  <c r="I342" i="1"/>
  <c r="J342" i="1" s="1"/>
  <c r="K342" i="1" s="1"/>
  <c r="I346" i="1"/>
  <c r="J346" i="1" s="1"/>
  <c r="K346" i="1" s="1"/>
  <c r="F301" i="1" l="1"/>
  <c r="M49" i="1"/>
  <c r="D20" i="1"/>
  <c r="E85" i="1" l="1"/>
  <c r="C47" i="1" l="1"/>
  <c r="K195" i="1" l="1"/>
  <c r="K177" i="1"/>
  <c r="G305" i="1"/>
  <c r="H305" i="1"/>
  <c r="I305" i="1"/>
  <c r="J305" i="1"/>
  <c r="K305" i="1"/>
  <c r="G306" i="1"/>
  <c r="H306" i="1"/>
  <c r="I306" i="1"/>
  <c r="J306" i="1"/>
  <c r="K306" i="1"/>
  <c r="H308" i="1"/>
  <c r="I308" i="1"/>
  <c r="J308" i="1"/>
  <c r="H313" i="1"/>
  <c r="I313" i="1"/>
  <c r="J313" i="1"/>
  <c r="K313" i="1"/>
  <c r="G89" i="1" l="1"/>
  <c r="G297" i="1" a="1"/>
  <c r="G297" i="1" s="1"/>
  <c r="H372" i="1"/>
  <c r="F318" i="1"/>
  <c r="G318" i="1" s="1"/>
  <c r="D160" i="1" s="1"/>
  <c r="E161" i="1"/>
  <c r="F161" i="1"/>
  <c r="G161" i="1"/>
  <c r="H161" i="1"/>
  <c r="D161" i="1"/>
  <c r="F171" i="1" l="1"/>
  <c r="I372" i="1"/>
  <c r="F162" i="1"/>
  <c r="F160" i="1"/>
  <c r="F172" i="1"/>
  <c r="H318" i="1"/>
  <c r="I318" i="1" s="1"/>
  <c r="J318" i="1" s="1"/>
  <c r="K318" i="1" s="1"/>
  <c r="G6" i="1"/>
  <c r="G30" i="1" s="1"/>
  <c r="J195" i="1"/>
  <c r="J372" i="1" l="1"/>
  <c r="H6" i="1"/>
  <c r="H309" i="1" s="1"/>
  <c r="G46" i="1"/>
  <c r="K372" i="1"/>
  <c r="I195" i="1"/>
  <c r="H195" i="1"/>
  <c r="G195" i="1"/>
  <c r="H297" i="1" l="1" a="1"/>
  <c r="H297" i="1" s="1"/>
  <c r="H89" i="1"/>
  <c r="H38" i="1"/>
  <c r="G165" i="1"/>
  <c r="I6" i="1"/>
  <c r="H177" i="1"/>
  <c r="G177" i="1"/>
  <c r="I310" i="1" l="1"/>
  <c r="I309" i="1"/>
  <c r="J6" i="1"/>
  <c r="J311" i="1" l="1"/>
  <c r="J310" i="1"/>
  <c r="J309" i="1"/>
  <c r="I297" i="1" a="1"/>
  <c r="I297" i="1" s="1"/>
  <c r="I89" i="1"/>
  <c r="K6" i="1"/>
  <c r="C43" i="1"/>
  <c r="J297" i="1" l="1" a="1"/>
  <c r="J297" i="1" s="1"/>
  <c r="J89" i="1"/>
  <c r="K309" i="1"/>
  <c r="K310" i="1"/>
  <c r="K311" i="1"/>
  <c r="K312" i="1"/>
  <c r="K194" i="1"/>
  <c r="K42" i="1"/>
  <c r="K164" i="1" s="1"/>
  <c r="K30" i="1"/>
  <c r="K38" i="1"/>
  <c r="K34" i="1"/>
  <c r="K179" i="1"/>
  <c r="K163" i="1"/>
  <c r="K46" i="1"/>
  <c r="K165" i="1" s="1"/>
  <c r="K20" i="1"/>
  <c r="K21" i="1"/>
  <c r="K22" i="1"/>
  <c r="K23" i="1"/>
  <c r="D179" i="1"/>
  <c r="K447" i="1" l="1"/>
  <c r="K289" i="1"/>
  <c r="K89" i="1"/>
  <c r="K297" i="1" a="1"/>
  <c r="K297" i="1" s="1"/>
  <c r="K173" i="1"/>
  <c r="K172" i="1"/>
  <c r="D23" i="1"/>
  <c r="K295" i="1" l="1"/>
  <c r="K88" i="1" s="1"/>
  <c r="K167" i="1"/>
  <c r="K298" i="1" l="1"/>
  <c r="D22" i="1"/>
  <c r="D21" i="1"/>
  <c r="D171" i="1" l="1"/>
  <c r="D182" i="1" l="1"/>
  <c r="D185" i="1" l="1"/>
  <c r="D186" i="1" s="1"/>
  <c r="C35" i="1" l="1"/>
  <c r="C31" i="1" l="1"/>
  <c r="E172" i="1" l="1"/>
  <c r="E171" i="1"/>
  <c r="E162" i="1"/>
  <c r="E160" i="1"/>
  <c r="E23" i="1"/>
  <c r="E179" i="1"/>
  <c r="E21" i="1"/>
  <c r="E192" i="1" s="1"/>
  <c r="E22" i="1"/>
  <c r="E20" i="1"/>
  <c r="E191" i="1" l="1"/>
  <c r="F23" i="1"/>
  <c r="F179" i="1"/>
  <c r="F95" i="1" s="1"/>
  <c r="F22" i="1"/>
  <c r="F20" i="1"/>
  <c r="F21" i="1"/>
  <c r="E100" i="1" l="1"/>
  <c r="E101" i="1" s="1"/>
  <c r="G38" i="1"/>
  <c r="G34" i="1"/>
  <c r="G42" i="1"/>
  <c r="E196" i="1"/>
  <c r="F192" i="1"/>
  <c r="F197" i="1" s="1"/>
  <c r="G163" i="1"/>
  <c r="G23" i="1"/>
  <c r="G179" i="1"/>
  <c r="G22" i="1"/>
  <c r="G20" i="1"/>
  <c r="G21" i="1"/>
  <c r="G173" i="1" l="1"/>
  <c r="G295" i="1" s="1"/>
  <c r="G193" i="1"/>
  <c r="H30" i="1"/>
  <c r="H42" i="1"/>
  <c r="H34" i="1"/>
  <c r="H46" i="1"/>
  <c r="G164" i="1"/>
  <c r="G167" i="1"/>
  <c r="H163" i="1"/>
  <c r="H23" i="1"/>
  <c r="H179" i="1"/>
  <c r="H22" i="1"/>
  <c r="H20" i="1"/>
  <c r="H21" i="1"/>
  <c r="G289" i="1" l="1"/>
  <c r="G300" i="1" s="1"/>
  <c r="G447" i="1"/>
  <c r="G291" i="1"/>
  <c r="G293" i="1" s="1"/>
  <c r="G87" i="1" s="1"/>
  <c r="G88" i="1"/>
  <c r="G298" i="1"/>
  <c r="G301" i="1" s="1"/>
  <c r="G446" i="1"/>
  <c r="G448" i="1" s="1"/>
  <c r="G449" i="1" s="1"/>
  <c r="G172" i="1"/>
  <c r="H165" i="1"/>
  <c r="H173" i="1"/>
  <c r="H295" i="1" s="1"/>
  <c r="H298" i="1" s="1"/>
  <c r="H193" i="1"/>
  <c r="I30" i="1"/>
  <c r="I38" i="1"/>
  <c r="I42" i="1"/>
  <c r="I194" i="1"/>
  <c r="I34" i="1"/>
  <c r="I46" i="1"/>
  <c r="I165" i="1" s="1"/>
  <c r="H167" i="1"/>
  <c r="I163" i="1"/>
  <c r="I23" i="1"/>
  <c r="I179" i="1"/>
  <c r="I20" i="1"/>
  <c r="I21" i="1"/>
  <c r="I161" i="1" s="1"/>
  <c r="I22" i="1"/>
  <c r="G91" i="1" l="1"/>
  <c r="G315" i="1"/>
  <c r="H301" i="1"/>
  <c r="H446" i="1"/>
  <c r="I173" i="1"/>
  <c r="I295" i="1" s="1"/>
  <c r="I193" i="1"/>
  <c r="J42" i="1"/>
  <c r="J164" i="1" s="1"/>
  <c r="J179" i="1"/>
  <c r="J38" i="1"/>
  <c r="M38" i="1" s="1"/>
  <c r="J30" i="1"/>
  <c r="M30" i="1" s="1"/>
  <c r="J46" i="1"/>
  <c r="J165" i="1" s="1"/>
  <c r="M165" i="1" s="1"/>
  <c r="J23" i="1"/>
  <c r="J194" i="1"/>
  <c r="J34" i="1"/>
  <c r="M34" i="1" s="1"/>
  <c r="J20" i="1"/>
  <c r="J21" i="1"/>
  <c r="J163" i="1"/>
  <c r="J22" i="1"/>
  <c r="F191" i="1"/>
  <c r="G194" i="1"/>
  <c r="H194" i="1"/>
  <c r="I167" i="1"/>
  <c r="H164" i="1"/>
  <c r="H88" i="1"/>
  <c r="J447" i="1" l="1"/>
  <c r="J289" i="1"/>
  <c r="H447" i="1"/>
  <c r="H289" i="1"/>
  <c r="I446" i="1"/>
  <c r="H448" i="1"/>
  <c r="H449" i="1" s="1"/>
  <c r="M46" i="1"/>
  <c r="M42" i="1"/>
  <c r="J173" i="1"/>
  <c r="M173" i="1" s="1"/>
  <c r="I301" i="1"/>
  <c r="J193" i="1"/>
  <c r="K193" i="1"/>
  <c r="K161" i="1"/>
  <c r="J161" i="1"/>
  <c r="J167" i="1"/>
  <c r="I164" i="1"/>
  <c r="G192" i="1"/>
  <c r="G197" i="1" s="1"/>
  <c r="F196" i="1"/>
  <c r="I88" i="1"/>
  <c r="W5" i="1" s="1"/>
  <c r="I298" i="1"/>
  <c r="I447" i="1" l="1"/>
  <c r="I289" i="1"/>
  <c r="I448" i="1"/>
  <c r="I449" i="1" s="1"/>
  <c r="M164" i="1"/>
  <c r="J295" i="1"/>
  <c r="J172" i="1"/>
  <c r="J446" i="1" l="1"/>
  <c r="M295" i="1"/>
  <c r="J298" i="1"/>
  <c r="J301" i="1" s="1"/>
  <c r="K301" i="1" s="1"/>
  <c r="J88" i="1"/>
  <c r="M88" i="1" s="1"/>
  <c r="K446" i="1" l="1"/>
  <c r="K448" i="1" s="1"/>
  <c r="K449" i="1" s="1"/>
  <c r="J448" i="1"/>
  <c r="J449" i="1" s="1"/>
  <c r="M449" i="1" l="1"/>
  <c r="M89" i="1"/>
  <c r="F96" i="1"/>
  <c r="G191" i="1" l="1"/>
  <c r="G185" i="1" s="1"/>
  <c r="G168" i="1" l="1"/>
  <c r="G162" i="1" s="1"/>
  <c r="G86" i="1"/>
  <c r="E186" i="1"/>
  <c r="E182" i="1"/>
  <c r="E183" i="1" s="1"/>
  <c r="H192" i="1"/>
  <c r="H197" i="1" s="1"/>
  <c r="G196" i="1"/>
  <c r="G171" i="1" l="1"/>
  <c r="G170" i="1" s="1"/>
  <c r="G160" i="1"/>
  <c r="G95" i="1" s="1"/>
  <c r="G96" i="1" l="1"/>
  <c r="G374" i="1" l="1"/>
  <c r="F186" i="1"/>
  <c r="G375" i="1" l="1"/>
  <c r="G99" i="1" s="1"/>
  <c r="H191" i="1"/>
  <c r="H185" i="1" s="1"/>
  <c r="F182" i="1" l="1"/>
  <c r="F183" i="1" s="1"/>
  <c r="F100" i="1"/>
  <c r="F101" i="1" s="1"/>
  <c r="I192" i="1"/>
  <c r="I197" i="1" s="1"/>
  <c r="H196" i="1"/>
  <c r="H286" i="1" l="1"/>
  <c r="H172" i="1"/>
  <c r="H171" i="1" s="1"/>
  <c r="H170" i="1" s="1"/>
  <c r="H285" i="1" l="1"/>
  <c r="H86" i="1"/>
  <c r="H291" i="1" l="1"/>
  <c r="H293" i="1" s="1"/>
  <c r="H315" i="1" s="1"/>
  <c r="H300" i="1"/>
  <c r="G181" i="1"/>
  <c r="G100" i="1"/>
  <c r="G101" i="1" s="1"/>
  <c r="G186" i="1"/>
  <c r="I191" i="1" l="1"/>
  <c r="I185" i="1" s="1"/>
  <c r="G182" i="1"/>
  <c r="G183" i="1" s="1"/>
  <c r="J192" i="1" l="1"/>
  <c r="I196" i="1"/>
  <c r="J191" i="1" l="1"/>
  <c r="J197" i="1"/>
  <c r="I286" i="1"/>
  <c r="I172" i="1"/>
  <c r="I171" i="1" s="1"/>
  <c r="J196" i="1" l="1"/>
  <c r="J185" i="1"/>
  <c r="I285" i="1"/>
  <c r="I86" i="1"/>
  <c r="K192" i="1"/>
  <c r="K191" i="1" s="1"/>
  <c r="K185" i="1" s="1"/>
  <c r="J171" i="1"/>
  <c r="I170" i="1"/>
  <c r="H87" i="1"/>
  <c r="H91" i="1" s="1"/>
  <c r="I291" i="1" l="1"/>
  <c r="I293" i="1" s="1"/>
  <c r="I315" i="1" s="1"/>
  <c r="I300" i="1"/>
  <c r="K186" i="1"/>
  <c r="K196" i="1"/>
  <c r="K197" i="1"/>
  <c r="K171" i="1"/>
  <c r="K170" i="1" s="1"/>
  <c r="J170" i="1"/>
  <c r="H186" i="1" l="1"/>
  <c r="I186" i="1" l="1"/>
  <c r="J186" i="1"/>
  <c r="J286" i="1" l="1"/>
  <c r="I87" i="1" l="1"/>
  <c r="J285" i="1"/>
  <c r="J86" i="1"/>
  <c r="J291" i="1" l="1"/>
  <c r="J293" i="1" s="1"/>
  <c r="K286" i="1"/>
  <c r="K285" i="1" s="1"/>
  <c r="J300" i="1"/>
  <c r="K86" i="1"/>
  <c r="M86" i="1" s="1"/>
  <c r="I91" i="1"/>
  <c r="W4" i="1"/>
  <c r="K291" i="1" l="1"/>
  <c r="K293" i="1" s="1"/>
  <c r="K87" i="1" s="1"/>
  <c r="K300" i="1"/>
  <c r="J87" i="1"/>
  <c r="J91" i="1" s="1"/>
  <c r="H168" i="1"/>
  <c r="H162" i="1" s="1"/>
  <c r="H160" i="1" s="1"/>
  <c r="K91" i="1" l="1"/>
  <c r="J315" i="1"/>
  <c r="K315" i="1"/>
  <c r="M87" i="1"/>
  <c r="I168" i="1"/>
  <c r="I162" i="1" s="1"/>
  <c r="I160" i="1" s="1"/>
  <c r="H95" i="1"/>
  <c r="M3" i="1" l="1"/>
  <c r="M91" i="1"/>
  <c r="G92" i="1" s="1"/>
  <c r="H374" i="1"/>
  <c r="H375" i="1" s="1"/>
  <c r="H99" i="1" s="1"/>
  <c r="H96" i="1"/>
  <c r="I95" i="1"/>
  <c r="J168" i="1"/>
  <c r="J162" i="1" s="1"/>
  <c r="J160" i="1" s="1"/>
  <c r="K168" i="1" l="1"/>
  <c r="K162" i="1" s="1"/>
  <c r="K160" i="1" s="1"/>
  <c r="K95" i="1" s="1"/>
  <c r="J95" i="1"/>
  <c r="I374" i="1"/>
  <c r="I375" i="1" s="1"/>
  <c r="I99" i="1" s="1"/>
  <c r="I96" i="1"/>
  <c r="H181" i="1"/>
  <c r="H182" i="1" s="1"/>
  <c r="H183" i="1" s="1"/>
  <c r="H100" i="1"/>
  <c r="H101" i="1" s="1"/>
  <c r="M95" i="1" l="1"/>
  <c r="K374" i="1"/>
  <c r="K375" i="1" s="1"/>
  <c r="K96" i="1"/>
  <c r="M4" i="1" s="1"/>
  <c r="I100" i="1"/>
  <c r="I101" i="1" s="1"/>
  <c r="E107" i="1" s="1"/>
  <c r="I181" i="1"/>
  <c r="I182" i="1" s="1"/>
  <c r="I183" i="1" s="1"/>
  <c r="J374" i="1"/>
  <c r="J375" i="1" s="1"/>
  <c r="J99" i="1" s="1"/>
  <c r="J96" i="1"/>
  <c r="J181" i="1" l="1"/>
  <c r="J182" i="1" s="1"/>
  <c r="J183" i="1" s="1"/>
  <c r="J100" i="1"/>
  <c r="J101" i="1" s="1"/>
  <c r="K99" i="1"/>
  <c r="K181" i="1" l="1"/>
  <c r="K182" i="1" s="1"/>
  <c r="K183" i="1" s="1"/>
  <c r="K100" i="1"/>
  <c r="K101"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<sst xmlns="http://schemas.openxmlformats.org/spreadsheetml/2006/main" count="216" uniqueCount="171">
  <si>
    <t>2022-25</t>
  </si>
  <si>
    <t>Starting fiscal space</t>
  </si>
  <si>
    <t>Used</t>
  </si>
  <si>
    <t>Two key assumptions</t>
  </si>
  <si>
    <t>1) Macroeconomic forecasts</t>
  </si>
  <si>
    <t>Real GNI* growth rates</t>
  </si>
  <si>
    <t>Nominal GNI* growth rates</t>
  </si>
  <si>
    <t>Change in prices (HICP inflation)</t>
  </si>
  <si>
    <t>2) How do you want to maintain current policies?</t>
  </si>
  <si>
    <t>(a) Do you wish to maintain existing social benefits?</t>
  </si>
  <si>
    <t>Yes</t>
  </si>
  <si>
    <t>(b) Do you wish to maintain existing pensions?</t>
  </si>
  <si>
    <t>(d) Will you raise or "index" tax bands in line with wages?</t>
  </si>
  <si>
    <t>Yes, I want bands to rise if wages rise</t>
  </si>
  <si>
    <t>Other Stand-Still costs driven by price changes €m</t>
  </si>
  <si>
    <t>These reflect the costs of maintaining government spending, given the rising costs of goods and services</t>
  </si>
  <si>
    <t>3) What are your new budget policies?</t>
  </si>
  <si>
    <t>Here are some examples of illustrative tax and spending changes</t>
  </si>
  <si>
    <t>New current spending changes €m</t>
  </si>
  <si>
    <t>New capital spending changes €m</t>
  </si>
  <si>
    <t xml:space="preserve">New tax measures €m (negative = tax cuts) </t>
  </si>
  <si>
    <t>Less pre-commitments and Stand-Still costs €m</t>
  </si>
  <si>
    <t xml:space="preserve">   % GNI*</t>
  </si>
  <si>
    <t>Net debt €m</t>
  </si>
  <si>
    <t xml:space="preserve">   annual change (percentage points)</t>
  </si>
  <si>
    <t>More detailed results</t>
  </si>
  <si>
    <t>Government revenue</t>
  </si>
  <si>
    <t xml:space="preserve">    annual change </t>
  </si>
  <si>
    <t xml:space="preserve">        due to economic growth</t>
  </si>
  <si>
    <t xml:space="preserve">        due to not indexing tax bands</t>
  </si>
  <si>
    <t xml:space="preserve">        due to growth impact on revenue</t>
  </si>
  <si>
    <t>Non-interest spending</t>
  </si>
  <si>
    <t xml:space="preserve">       due to Stand-Still costs</t>
  </si>
  <si>
    <t xml:space="preserve">       due to pre-commitments: capital spending</t>
  </si>
  <si>
    <t xml:space="preserve">       due to pre-commitments: demographic pressures</t>
  </si>
  <si>
    <t xml:space="preserve">       due to new policies (spending increases or cuts)</t>
  </si>
  <si>
    <t>Interest spending</t>
  </si>
  <si>
    <t>Gross debt</t>
  </si>
  <si>
    <t xml:space="preserve">   annual change (p.p.)</t>
  </si>
  <si>
    <t>GG assets</t>
  </si>
  <si>
    <t>Nominal GNI*</t>
  </si>
  <si>
    <t>Nominal GNI* with no changes to taxes or spending</t>
  </si>
  <si>
    <t>Multiplier impact of indexing tax bands</t>
  </si>
  <si>
    <t>Multiplier impact of discretionary change to taxes or spending</t>
  </si>
  <si>
    <t>Income tax</t>
  </si>
  <si>
    <t>Yield from 1 percentage point (pp) rise in 20% income tax rate</t>
  </si>
  <si>
    <t>Cost of 1pp decrease in income tax 20% rate</t>
  </si>
  <si>
    <t>Yield from 1 pp rise in 40% income tax rate</t>
  </si>
  <si>
    <t>Cost of 1pp decrease in income tax 40% rate</t>
  </si>
  <si>
    <t>VAT</t>
  </si>
  <si>
    <t>One pp change on 9% rate</t>
  </si>
  <si>
    <t>One pp change on 13.5% rate</t>
  </si>
  <si>
    <t>One pp change on 23% rate</t>
  </si>
  <si>
    <t>Carbon tax</t>
  </si>
  <si>
    <t>Increase by €15 a tonne</t>
  </si>
  <si>
    <t>Local property tax</t>
  </si>
  <si>
    <t>Additional charge of €100 on every property</t>
  </si>
  <si>
    <t>Capital acquisitions tax</t>
  </si>
  <si>
    <t>Raise from 33% to 43%</t>
  </si>
  <si>
    <t>Capital gains tax</t>
  </si>
  <si>
    <t xml:space="preserve">Increase in 33% rate by 1pp </t>
  </si>
  <si>
    <t>Decrease in 33% rate by 1pp</t>
  </si>
  <si>
    <t>€1 increase in jobseekers allowance (for max rate)</t>
  </si>
  <si>
    <t xml:space="preserve">€1 increase in jobseekers benefit </t>
  </si>
  <si>
    <t>€1 increase in disability allowance</t>
  </si>
  <si>
    <t>€1 increase in maternity and adoptive benefit</t>
  </si>
  <si>
    <t>€1 increase in state pension (contributory)</t>
  </si>
  <si>
    <t>€1 increase in state pension (non-contributory)</t>
  </si>
  <si>
    <t>€1 increase in illness benefit</t>
  </si>
  <si>
    <t>Public investment spending</t>
  </si>
  <si>
    <t>Indexing the tax system</t>
  </si>
  <si>
    <t xml:space="preserve">PRSI rate changes are from the Tax Strategy Group report in July 2019. Social insurance increases are from the PBO's Pre-Budget 2021 Ready Reckoner. </t>
  </si>
  <si>
    <t>** Indexation here refers to PAYE credits, exemption limits, personal tax credits with rate bands, and USC rate bands and exemption limits.</t>
  </si>
  <si>
    <t>Revenue's Ready Reckoner</t>
  </si>
  <si>
    <t>Corrected expenditure aggregate</t>
  </si>
  <si>
    <t>Pre-commitments and Stand-Still costs</t>
  </si>
  <si>
    <t>Spending limit (increased by tax-raising measures)</t>
  </si>
  <si>
    <t>Spending</t>
  </si>
  <si>
    <t>Discretionary current spending change</t>
  </si>
  <si>
    <t>Discretionary capital spending change</t>
  </si>
  <si>
    <t>Discretionary tax increase (+)</t>
  </si>
  <si>
    <t>Discretionary tax reduction (-)</t>
  </si>
  <si>
    <t>Controls</t>
  </si>
  <si>
    <t>Macro scenarios</t>
  </si>
  <si>
    <t>No, I wish to keep them constant in cash terms, or decrease them</t>
  </si>
  <si>
    <t>No, I don't want bands to rise if wages rise</t>
  </si>
  <si>
    <t>"Sustainable" growth rate</t>
  </si>
  <si>
    <t>(c) Do you wish to maintain relative public sector pay levels?</t>
  </si>
  <si>
    <t>Multiplier impact of selected stand-still costs</t>
  </si>
  <si>
    <t>SPU 2024</t>
  </si>
  <si>
    <t>Less the impact of new policies €m</t>
  </si>
  <si>
    <t>Budget balance €m (excluding excess CT)</t>
  </si>
  <si>
    <t xml:space="preserve">The impact of new policies </t>
  </si>
  <si>
    <t>Excess Corporation Tax</t>
  </si>
  <si>
    <t>Of which: excess CT</t>
  </si>
  <si>
    <t>* These are based on full-year impacts. Most estimates are from the "Post-Budget 2024 Revenue Ready Reckoner, October 2023". See revenue.ie for newer estimates.</t>
  </si>
  <si>
    <t>Permitted net spending increase when spending rule is adhered to</t>
  </si>
  <si>
    <t>A 1% wage increase is assumed to raise €254m from not indexing **</t>
  </si>
  <si>
    <t>Social insurance spending (used September 2022 version of PBO ready reckoner)</t>
  </si>
  <si>
    <t>Bringing capital spending up to 5.4% of national income (as previously planned in the National Development plan)</t>
  </si>
  <si>
    <t>Headline General Government Balance</t>
  </si>
  <si>
    <t>Headline government balance minus contributions to funds</t>
  </si>
  <si>
    <t>(e) Will you increase the carbon tax as has been legislated for?</t>
  </si>
  <si>
    <t>Yes, I want to increase the carbon tax</t>
  </si>
  <si>
    <t>No, I don't want to increase the carbon tax</t>
  </si>
  <si>
    <t>Leftover budgetary resources €m</t>
  </si>
  <si>
    <t xml:space="preserve">        due to increasing the carbon tax</t>
  </si>
  <si>
    <t>Wage growth (hourly)</t>
  </si>
  <si>
    <t xml:space="preserve">Increase in 0.1% for all rates of PRSI (employer, employee and self employed) </t>
  </si>
  <si>
    <t xml:space="preserve">PRSI </t>
  </si>
  <si>
    <t>Budgetary Resources calculations</t>
  </si>
  <si>
    <t>Gross budgetary resources (including new tax increases)</t>
  </si>
  <si>
    <t>Total use of budgetary resources</t>
  </si>
  <si>
    <t>Remaining budgetary resources</t>
  </si>
  <si>
    <t>Budgetary scenarios</t>
  </si>
  <si>
    <t>Contributions to funds (FIF and ICNF)</t>
  </si>
  <si>
    <t>Budget 2025</t>
  </si>
  <si>
    <t>Other standstill costs (incl. non-exchequer)</t>
  </si>
  <si>
    <r>
      <t xml:space="preserve">Enter the amounts in €m that you intend to change spending and taxes </t>
    </r>
    <r>
      <rPr>
        <u/>
        <sz val="11"/>
        <color theme="1"/>
        <rFont val="Avenir Next LT Pro"/>
        <family val="2"/>
      </rPr>
      <t>every year</t>
    </r>
    <r>
      <rPr>
        <sz val="11"/>
        <color theme="1"/>
        <rFont val="Avenir Next LT Pro"/>
        <family val="2"/>
      </rPr>
      <t xml:space="preserve"> after by same amount once introduced</t>
    </r>
  </si>
  <si>
    <t>PBO Pre-Budget 2025 Ready Reckoner</t>
  </si>
  <si>
    <t>Public sector wages (incl. public pension and non-exchequer)</t>
  </si>
  <si>
    <t>Public sector wages (incl. public pension and non-exchequer, not indexed)</t>
  </si>
  <si>
    <t>Year</t>
  </si>
  <si>
    <t>Net debt ratio baseline</t>
  </si>
  <si>
    <t xml:space="preserve">Examples of tax &amp; spending changes * </t>
  </si>
  <si>
    <t>4) The government has committed to putting risky corporation tax in long-term savings funds. You can change the amounts here</t>
  </si>
  <si>
    <t xml:space="preserve">The government has committed to putting risky corporation tax into two long-term savings funds. </t>
  </si>
  <si>
    <t xml:space="preserve">This calculator sets a limit for government spending based on the idea that  </t>
  </si>
  <si>
    <t xml:space="preserve">2% per annum. </t>
  </si>
  <si>
    <t xml:space="preserve">sustainable growth is close to 3% in real GNI* terms, with inflation averaging </t>
  </si>
  <si>
    <t>Corrected expenditure with indexation, PRSI, and carbon tax</t>
  </si>
  <si>
    <t xml:space="preserve">     due to PRSI increases</t>
  </si>
  <si>
    <t xml:space="preserve">        due to new policies (spending/tax increases or cuts)</t>
  </si>
  <si>
    <t>Future Ireland Fund</t>
  </si>
  <si>
    <t>Infrastructure, Climate and Nature Fund</t>
  </si>
  <si>
    <t xml:space="preserve">You can change how much will be allocated to these funds by adjusting these amounts: </t>
  </si>
  <si>
    <t>The Future Ireland Fund's main goal is to help deal with major challenges</t>
  </si>
  <si>
    <t>such as population ageing. These will mean far greater budgetary pressures falling on</t>
  </si>
  <si>
    <t xml:space="preserve">on future generations. The Fund is set to be allocated 0.8% of GDP worth of resources each year. </t>
  </si>
  <si>
    <t xml:space="preserve">The Infrastructure, Climate and Nature Fund's purpose is to support public spending on </t>
  </si>
  <si>
    <t xml:space="preserve">capital projects in case there is a sudden loss in resources. It is also intended to be used for </t>
  </si>
  <si>
    <t>certain environmental projects between 2026 and 2030.</t>
  </si>
  <si>
    <t>Resources remaining</t>
  </si>
  <si>
    <t>Underlying budget balance in 2030</t>
  </si>
  <si>
    <t>Staffing</t>
  </si>
  <si>
    <t>+1,000 staff nurses </t>
  </si>
  <si>
    <t>+1,000 hospital consultants</t>
  </si>
  <si>
    <t>+1,000 garda</t>
  </si>
  <si>
    <t>+1,000 primary teachers</t>
  </si>
  <si>
    <t>+1,000 post-primary teachers</t>
  </si>
  <si>
    <t>+1,000 special needs assistants</t>
  </si>
  <si>
    <t>+1,000 third level assistant lecturers</t>
  </si>
  <si>
    <t xml:space="preserve">Budgetary </t>
  </si>
  <si>
    <t xml:space="preserve">Resources </t>
  </si>
  <si>
    <t>Calculator</t>
  </si>
  <si>
    <t>Budgetary resources (after your tax-raising measures) €m</t>
  </si>
  <si>
    <t>Starting resources (based on the 5% assumption) €m</t>
  </si>
  <si>
    <t>5) What your Budgets mean</t>
  </si>
  <si>
    <t>Cumulative 
2026-2030</t>
  </si>
  <si>
    <t xml:space="preserve"> </t>
  </si>
  <si>
    <t>Get Started!</t>
  </si>
  <si>
    <t>Net spending increase</t>
  </si>
  <si>
    <t>DRMs</t>
  </si>
  <si>
    <t>Expenditure</t>
  </si>
  <si>
    <t>Net expenditure</t>
  </si>
  <si>
    <t>Avg</t>
  </si>
  <si>
    <t>Compounding effect of yr1 tax increase</t>
  </si>
  <si>
    <t>Compounding effect of yr2 tax increase</t>
  </si>
  <si>
    <t>Compounding effect of yr3 tax increase</t>
  </si>
  <si>
    <t>Tax increases (includes PRSI)</t>
  </si>
  <si>
    <t>Compounding effect of yr4 tax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</si>
</sst>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
    <numFmt numFmtId="165" formatCode="0.0"/>
    <numFmt numFmtId="166" formatCode="#,##0;[Color54]\-#,##0"/>
    <numFmt numFmtId="167" formatCode="#,##0.0000;\-#,##0.0000"/>
    <numFmt numFmtId="168" formatCode="#,##0.00000;\-#,##0.00000"/>
    <numFmt numFmtId="169" formatCode="#,##0.000"/>
    <numFmt numFmtId="170" formatCode="_-* #,##0_-;\-* #,##0_-;_-* &quot;-&quot;??_-;_-@_-"/>
    <numFmt numFmtId="171" formatCode="&quot;€&quot;#,##0.0;\-&quot;€&quot;#,##0.0"/>
  </numFmts>
  <fonts count="39"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venir Next LT Pro"/>
      <family val="2"/>
    </font>
    <font>
      <sz val="11"/>
      <color theme="1" tint="0.499984740745262"/>
      <name val="Avenir Next LT Pro"/>
      <family val="2"/>
    </font>
    <font>
      <b/>
      <sz val="18"/>
      <color theme="1"/>
      <name val="Avenir Next LT Pro"/>
      <family val="2"/>
    </font>
    <font>
      <sz val="10"/>
      <color theme="1" tint="0.34998626667073579"/>
      <name val="Avenir Next LT Pro"/>
      <family val="2"/>
    </font>
    <font>
      <sz val="16"/>
      <color theme="0"/>
      <name val="Avenir Next LT Pro"/>
      <family val="2"/>
    </font>
    <font>
      <sz val="11"/>
      <color rgb="FF7030A0"/>
      <name val="Avenir Next LT Pro"/>
      <family val="2"/>
    </font>
    <font>
      <i/>
      <sz val="11"/>
      <color theme="7" tint="-0.249977111117893"/>
      <name val="Avenir Next LT Pro"/>
      <family val="2"/>
    </font>
    <font>
      <sz val="11"/>
      <color theme="0" tint="-0.499984740745262"/>
      <name val="Avenir Next LT Pro"/>
      <family val="2"/>
    </font>
    <font>
      <i/>
      <sz val="11"/>
      <color theme="1"/>
      <name val="Avenir Next LT Pro"/>
      <family val="2"/>
    </font>
    <font>
      <u/>
      <sz val="11"/>
      <color theme="1"/>
      <name val="Avenir Next LT Pro"/>
      <family val="2"/>
    </font>
    <font>
      <u/>
      <sz val="11"/>
      <color theme="8" tint="-0.249977111117893"/>
      <name val="Avenir Next LT Pro"/>
      <family val="2"/>
    </font>
    <font>
      <i/>
      <u/>
      <sz val="11"/>
      <color theme="8" tint="-0.249977111117893"/>
      <name val="Avenir Next LT Pro"/>
      <family val="2"/>
    </font>
    <font>
      <i/>
      <sz val="11"/>
      <color theme="6" tint="0.249977111117893"/>
      <name val="Avenir Next LT Pro"/>
      <family val="2"/>
    </font>
    <font>
      <sz val="11"/>
      <name val="Avenir Next LT Pro"/>
      <family val="2"/>
    </font>
    <font>
      <b/>
      <sz val="14"/>
      <color theme="1" tint="0.249977111117893"/>
      <name val="Avenir Next LT Pro"/>
      <family val="2"/>
    </font>
    <font>
      <sz val="11"/>
      <color theme="1" tint="0.34998626667073579"/>
      <name val="Avenir Next LT Pro"/>
      <family val="2"/>
    </font>
    <font>
      <sz val="18"/>
      <color theme="1"/>
      <name val="Avenir Next LT Pro"/>
      <family val="2"/>
    </font>
    <font>
      <b/>
      <sz val="11"/>
      <color theme="1"/>
      <name val="Avenir Next LT Pro"/>
      <family val="2"/>
    </font>
    <font>
      <sz val="18"/>
      <color theme="0"/>
      <name val="Avenir Next LT Pro"/>
      <family val="2"/>
    </font>
    <font>
      <sz val="14"/>
      <color theme="0"/>
      <name val="Avenir Next LT Pro"/>
      <family val="2"/>
    </font>
    <font>
      <sz val="11"/>
      <color theme="0"/>
      <name val="Avenir Next LT Pro"/>
      <family val="2"/>
    </font>
    <font>
      <sz val="9"/>
      <color theme="0"/>
      <name val="Avenir Next LT Pro"/>
      <family val="2"/>
    </font>
    <font>
      <i/>
      <u/>
      <sz val="11"/>
      <color theme="8" tint="0.39997558519241921"/>
      <name val="Avenir Next LT Pro"/>
      <family val="2"/>
    </font>
    <font>
      <b/>
      <sz val="11"/>
      <color theme="0"/>
      <name val="Avenir Next LT Pro"/>
      <family val="2"/>
    </font>
    <font>
      <sz val="11"/>
      <color theme="0" tint="-4.9989318521683403E-2"/>
      <name val="Avenir Next LT Pro"/>
      <family val="2"/>
    </font>
    <font>
      <sz val="11"/>
      <color theme="5"/>
      <name val="Avenir Next LT Pro"/>
      <family val="2"/>
    </font>
    <font>
      <sz val="11"/>
      <color rgb="FF0070C0"/>
      <name val="Avenir Next LT Pro"/>
      <family val="2"/>
    </font>
    <font>
      <b/>
      <sz val="11"/>
      <color theme="0" tint="-0.499984740745262"/>
      <name val="Avenir Next LT Pro"/>
      <family val="2"/>
    </font>
    <font>
      <sz val="11"/>
      <color theme="1" tint="0.249977111117893"/>
      <name val="Avenir Next LT Pro"/>
      <family val="2"/>
    </font>
    <font>
      <b/>
      <sz val="11"/>
      <color theme="1" tint="0.249977111117893"/>
      <name val="Avenir Next LT Pro"/>
      <family val="2"/>
    </font>
    <font>
      <b/>
      <sz val="16"/>
      <color theme="1" tint="0.249977111117893"/>
      <name val="Avenir Next LT Pro"/>
      <family val="2"/>
    </font>
    <font>
      <b/>
      <sz val="22"/>
      <color theme="1" tint="0.249977111117893"/>
      <name val="Avenir Next LT Pro"/>
      <family val="2"/>
    </font>
    <font>
      <sz val="12"/>
      <color theme="1"/>
      <name val="Avenir Next LT Pro"/>
      <family val="2"/>
    </font>
    <font>
      <b/>
      <sz val="14"/>
      <color theme="1"/>
      <name val="Avenir Next LT Pro"/>
      <family val="2"/>
    </font>
    <font>
      <b/>
      <sz val="12"/>
      <color theme="1"/>
      <name val="Avenir Next LT Pro"/>
      <family val="2"/>
    </font>
    <font>
      <u/>
      <sz val="22"/>
      <color theme="7" tint="-0.249977111117893"/>
      <name val="Calibri"/>
      <family val="2"/>
      <scheme val="minor"/>
    </font>
  </fonts>
  <fills count="8">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rgb="FFE7CB94"/>
        <bgColor indexed="64"/>
      </patternFill>
    </fill>
    <fill>
      <patternFill patternType="solid">
        <fgColor theme="6" tint="0.89999084444715716"/>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91">
    <xf numFmtId="0" fontId="0" fillId="0" borderId="0" xfId="0"/>
    <xf numFmtId="0" fontId="3" fillId="3" borderId="0" xfId="0" applyFont="1" applyFill="1"/>
    <xf numFmtId="0" fontId="3" fillId="0" borderId="0" xfId="0" applyFont="1"/>
    <xf numFmtId="0" fontId="4" fillId="3" borderId="0" xfId="0" applyFont="1" applyFill="1"/>
    <xf numFmtId="3" fontId="4" fillId="3" borderId="0" xfId="0" applyNumberFormat="1" applyFont="1" applyFill="1"/>
    <xf numFmtId="0" fontId="7" fillId="3" borderId="0" xfId="0" applyFont="1" applyFill="1"/>
    <xf numFmtId="0" fontId="7" fillId="2" borderId="0" xfId="0" applyFont="1" applyFill="1"/>
    <xf numFmtId="0" fontId="3" fillId="4" borderId="0" xfId="0" applyFont="1" applyFill="1"/>
    <xf numFmtId="37" fontId="3" fillId="4" borderId="0" xfId="0" applyNumberFormat="1" applyFont="1" applyFill="1"/>
    <xf numFmtId="0" fontId="21" fillId="4" borderId="0" xfId="0" applyFont="1" applyFill="1"/>
    <xf numFmtId="0" fontId="22" fillId="4" borderId="0" xfId="0" applyFont="1" applyFill="1"/>
    <xf numFmtId="0" fontId="23" fillId="4" borderId="0" xfId="0" applyFont="1" applyFill="1"/>
    <xf numFmtId="37" fontId="23" fillId="4" borderId="0" xfId="0" applyNumberFormat="1" applyFont="1" applyFill="1"/>
    <xf numFmtId="0" fontId="23" fillId="4" borderId="0" xfId="0" applyFont="1" applyFill="1" applyAlignment="1">
      <alignment wrapText="1"/>
    </xf>
    <xf numFmtId="164" fontId="23" fillId="4" borderId="0" xfId="0" applyNumberFormat="1" applyFont="1" applyFill="1"/>
    <xf numFmtId="0" fontId="24" fillId="4" borderId="0" xfId="0" applyFont="1" applyFill="1"/>
    <xf numFmtId="0" fontId="25" fillId="4" borderId="0" xfId="1" applyFont="1" applyFill="1"/>
    <xf numFmtId="0" fontId="26" fillId="4" borderId="0" xfId="0" applyFont="1" applyFill="1"/>
    <xf numFmtId="3" fontId="23" fillId="4" borderId="0" xfId="0" applyNumberFormat="1" applyFont="1" applyFill="1"/>
    <xf numFmtId="37" fontId="27" fillId="4" borderId="0" xfId="0" applyNumberFormat="1" applyFont="1" applyFill="1"/>
    <xf numFmtId="37" fontId="28" fillId="4" borderId="0" xfId="0" applyNumberFormat="1" applyFont="1" applyFill="1"/>
    <xf numFmtId="168" fontId="28" fillId="4" borderId="0" xfId="0" applyNumberFormat="1" applyFont="1" applyFill="1"/>
    <xf numFmtId="164" fontId="8" fillId="4" borderId="0" xfId="0" applyNumberFormat="1" applyFont="1" applyFill="1"/>
    <xf numFmtId="0" fontId="27" fillId="4" borderId="0" xfId="0" applyFont="1" applyFill="1"/>
    <xf numFmtId="0" fontId="28" fillId="4" borderId="0" xfId="0" applyFont="1" applyFill="1"/>
    <xf numFmtId="37" fontId="29" fillId="4" borderId="0" xfId="0" applyNumberFormat="1" applyFont="1" applyFill="1"/>
    <xf numFmtId="0" fontId="30" fillId="4" borderId="0" xfId="0" applyFont="1" applyFill="1"/>
    <xf numFmtId="0" fontId="10" fillId="4" borderId="0" xfId="0" applyFont="1" applyFill="1"/>
    <xf numFmtId="165" fontId="10" fillId="4" borderId="0" xfId="0" applyNumberFormat="1" applyFont="1" applyFill="1"/>
    <xf numFmtId="165" fontId="27" fillId="4" borderId="0" xfId="0" applyNumberFormat="1" applyFont="1" applyFill="1"/>
    <xf numFmtId="3" fontId="10" fillId="4" borderId="0" xfId="0" applyNumberFormat="1" applyFont="1" applyFill="1"/>
    <xf numFmtId="3" fontId="27" fillId="4" borderId="0" xfId="0" applyNumberFormat="1" applyFont="1" applyFill="1"/>
    <xf numFmtId="169" fontId="10" fillId="4" borderId="0" xfId="0" applyNumberFormat="1" applyFont="1" applyFill="1"/>
    <xf numFmtId="1" fontId="10" fillId="4" borderId="0" xfId="0" applyNumberFormat="1" applyFont="1" applyFill="1"/>
    <xf numFmtId="37" fontId="10" fillId="4" borderId="0" xfId="0" applyNumberFormat="1" applyFont="1" applyFill="1"/>
    <xf numFmtId="165" fontId="3" fillId="3" borderId="0" xfId="0" applyNumberFormat="1" applyFont="1" applyFill="1"/>
    <xf numFmtId="3" fontId="10" fillId="4" borderId="0" xfId="2" applyNumberFormat="1" applyFont="1" applyFill="1"/>
    <xf numFmtId="0" fontId="0" fillId="3" borderId="0" xfId="0" applyFill="1"/>
    <xf numFmtId="0" fontId="0" fillId="5" borderId="0" xfId="0" applyFill="1"/>
    <xf numFmtId="0" fontId="3" fillId="5" borderId="0" xfId="0" applyFont="1" applyFill="1"/>
    <xf numFmtId="37" fontId="3" fillId="5" borderId="0" xfId="0" applyNumberFormat="1" applyFont="1" applyFill="1"/>
    <xf numFmtId="164" fontId="3" fillId="5" borderId="0" xfId="0" applyNumberFormat="1" applyFont="1" applyFill="1"/>
    <xf numFmtId="0" fontId="3" fillId="5" borderId="0" xfId="0" applyFont="1" applyFill="1" applyAlignment="1">
      <alignment horizontal="right" wrapText="1"/>
    </xf>
    <xf numFmtId="0" fontId="31" fillId="5" borderId="0" xfId="0" applyFont="1" applyFill="1"/>
    <xf numFmtId="0" fontId="32" fillId="5" borderId="0" xfId="0" applyFont="1" applyFill="1"/>
    <xf numFmtId="0" fontId="32" fillId="5" borderId="0" xfId="0" applyFont="1" applyFill="1" applyAlignment="1">
      <alignment horizontal="right"/>
    </xf>
    <xf numFmtId="171" fontId="33" fillId="5" borderId="0" xfId="0" applyNumberFormat="1" applyFont="1" applyFill="1" applyAlignment="1">
      <alignment horizontal="right"/>
    </xf>
    <xf numFmtId="164" fontId="17" fillId="5" borderId="0" xfId="0" applyNumberFormat="1" applyFont="1" applyFill="1" applyAlignment="1">
      <alignment horizontal="right"/>
    </xf>
    <xf numFmtId="0" fontId="34" fillId="5" borderId="0" xfId="0" applyFont="1" applyFill="1" applyAlignment="1">
      <alignment horizontal="left"/>
    </xf>
    <xf numFmtId="0" fontId="34" fillId="5" borderId="0" xfId="0" applyFont="1" applyFill="1" applyAlignment="1">
      <alignment horizontal="left" indent="1"/>
    </xf>
    <xf numFmtId="0" fontId="5" fillId="5" borderId="0" xfId="0" applyFont="1" applyFill="1"/>
    <xf numFmtId="0" fontId="6" fillId="5" borderId="0" xfId="0" applyFont="1" applyFill="1"/>
    <xf numFmtId="165" fontId="3" fillId="5" borderId="0" xfId="0" applyNumberFormat="1" applyFont="1" applyFill="1"/>
    <xf numFmtId="37" fontId="8" fillId="5" borderId="0" xfId="0" applyNumberFormat="1" applyFont="1" applyFill="1"/>
    <xf numFmtId="165" fontId="15" fillId="5" borderId="0" xfId="0" applyNumberFormat="1" applyFont="1" applyFill="1"/>
    <xf numFmtId="0" fontId="3" fillId="5" borderId="0" xfId="0" applyFont="1" applyFill="1" applyAlignment="1">
      <alignment horizontal="right"/>
    </xf>
    <xf numFmtId="37" fontId="17" fillId="5" borderId="0" xfId="0" applyNumberFormat="1" applyFont="1" applyFill="1"/>
    <xf numFmtId="37" fontId="18" fillId="5" borderId="0" xfId="0" applyNumberFormat="1" applyFont="1" applyFill="1"/>
    <xf numFmtId="0" fontId="9" fillId="5" borderId="0" xfId="0" applyFont="1" applyFill="1"/>
    <xf numFmtId="37" fontId="10" fillId="5" borderId="0" xfId="0" applyNumberFormat="1" applyFont="1" applyFill="1"/>
    <xf numFmtId="0" fontId="11" fillId="5" borderId="0" xfId="0" applyFont="1" applyFill="1"/>
    <xf numFmtId="0" fontId="13" fillId="5" borderId="0" xfId="1" applyFont="1" applyFill="1"/>
    <xf numFmtId="0" fontId="14" fillId="5" borderId="0" xfId="1" applyFont="1" applyFill="1"/>
    <xf numFmtId="0" fontId="5" fillId="5" borderId="0" xfId="0" applyFont="1" applyFill="1" applyAlignment="1">
      <alignment wrapText="1"/>
    </xf>
    <xf numFmtId="0" fontId="3" fillId="5" borderId="0" xfId="0" applyFont="1" applyFill="1" applyAlignment="1">
      <alignment wrapText="1"/>
    </xf>
    <xf numFmtId="0" fontId="20" fillId="5" borderId="0" xfId="0" applyFont="1" applyFill="1"/>
    <xf numFmtId="167" fontId="3" fillId="5" borderId="0" xfId="0" applyNumberFormat="1" applyFont="1" applyFill="1"/>
    <xf numFmtId="0" fontId="16" fillId="5" borderId="0" xfId="0" applyFont="1" applyFill="1"/>
    <xf numFmtId="0" fontId="3" fillId="6" borderId="0" xfId="0" applyFont="1" applyFill="1"/>
    <xf numFmtId="0" fontId="36" fillId="6" borderId="0" xfId="0" applyFont="1" applyFill="1"/>
    <xf numFmtId="170" fontId="3" fillId="6" borderId="0" xfId="2" applyNumberFormat="1" applyFont="1" applyFill="1"/>
    <xf numFmtId="0" fontId="35" fillId="3" borderId="0" xfId="0" applyFont="1" applyFill="1"/>
    <xf numFmtId="0" fontId="35" fillId="5" borderId="0" xfId="0" applyFont="1" applyFill="1"/>
    <xf numFmtId="0" fontId="37" fillId="5" borderId="0" xfId="0" applyFont="1" applyFill="1"/>
    <xf numFmtId="37" fontId="37" fillId="5" borderId="0" xfId="0" applyNumberFormat="1" applyFont="1" applyFill="1"/>
    <xf numFmtId="166" fontId="37" fillId="5" borderId="0" xfId="0" applyNumberFormat="1" applyFont="1" applyFill="1"/>
    <xf numFmtId="0" fontId="35" fillId="0" borderId="0" xfId="0" applyFont="1"/>
    <xf numFmtId="0" fontId="38" fillId="5" borderId="0" xfId="1" applyFont="1" applyFill="1" applyAlignment="1">
      <alignment horizontal="left" indent="1"/>
    </xf>
    <xf numFmtId="0" fontId="3" fillId="7" borderId="0" xfId="0" applyFont="1" applyFill="1"/>
    <xf numFmtId="37" fontId="3" fillId="7" borderId="0" xfId="0" applyNumberFormat="1" applyFont="1" applyFill="1"/>
    <xf numFmtId="0" fontId="19" fillId="7" borderId="0" xfId="0" applyFont="1" applyFill="1"/>
    <xf numFmtId="39" fontId="3" fillId="7" borderId="0" xfId="0" applyNumberFormat="1" applyFont="1" applyFill="1"/>
    <xf numFmtId="164" fontId="3" fillId="7" borderId="0" xfId="0" applyNumberFormat="1" applyFont="1" applyFill="1"/>
    <xf numFmtId="0" fontId="3" fillId="7" borderId="0" xfId="0" applyFont="1" applyFill="1" applyAlignment="1">
      <alignment horizontal="left" indent="1"/>
    </xf>
    <xf numFmtId="0" fontId="20" fillId="7" borderId="0" xfId="0" applyFont="1" applyFill="1"/>
    <xf numFmtId="37" fontId="10" fillId="7" borderId="0" xfId="0" applyNumberFormat="1" applyFont="1" applyFill="1"/>
    <xf numFmtId="37" fontId="3" fillId="3" borderId="0" xfId="0" applyNumberFormat="1" applyFont="1" applyFill="1"/>
    <xf numFmtId="3" fontId="3" fillId="3" borderId="0" xfId="0" applyNumberFormat="1" applyFont="1" applyFill="1"/>
    <xf numFmtId="165" fontId="20" fillId="3" borderId="0" xfId="0" applyNumberFormat="1" applyFont="1" applyFill="1"/>
    <xf numFmtId="0" fontId="20" fillId="3" borderId="0" xfId="0" applyFont="1" applyFill="1"/>
    <xf numFmtId="0" fontId="3" fillId="3" borderId="0" xfId="0" applyFont="1" applyFill="1" applyAlignment="1">
      <alignment horizontal="right"/>
    </xf>
  </cellXfs>
  <cellStyles count="3">
    <cellStyle name="Comma" xfId="2" builtinId="3"/>
    <cellStyle name="Hyperlink" xfId="1" builtinId="8"/>
    <cellStyle name="Normal" xfId="0" builtinId="0"/>
  </cellStyles>
  <dxfs count="5">
    <dxf>
      <font>
        <color theme="6" tint="9.9948118533890809E-2"/>
      </font>
      <fill>
        <patternFill>
          <bgColor theme="6" tint="0.89996032593768116"/>
        </patternFill>
      </fill>
    </dxf>
    <dxf>
      <font>
        <color theme="6" tint="9.9948118533890809E-2"/>
      </font>
      <fill>
        <patternFill>
          <bgColor theme="6" tint="0.89996032593768116"/>
        </patternFill>
      </fill>
    </dxf>
    <dxf>
      <font>
        <color theme="6" tint="9.9948118533890809E-2"/>
      </font>
      <fill>
        <patternFill>
          <bgColor theme="6" tint="0.89996032593768116"/>
        </patternFill>
      </fill>
    </dxf>
    <dxf>
      <font>
        <color theme="6" tint="9.9948118533890809E-2"/>
      </font>
      <fill>
        <patternFill>
          <bgColor theme="6" tint="0.89996032593768116"/>
        </patternFill>
      </fill>
    </dxf>
    <dxf>
      <font>
        <color theme="6" tint="9.9948118533890809E-2"/>
      </font>
      <fill>
        <patternFill>
          <bgColor theme="6" tint="0.89996032593768116"/>
        </patternFill>
      </fill>
    </dxf>
  </dxfs>
  <tableStyles count="0" defaultTableStyle="TableStyleMedium2" defaultPivotStyle="PivotStyleLight16"/>
  <colors>
    <mruColors>
      <color rgb="FFE7CB94"/>
      <color rgb="FFBEAD56"/>
      <color rgb="FFC9D284"/>
      <color rgb="FF9F9F74"/>
      <color rgb="FFEE6EC9"/>
      <color rgb="FF830F6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907037796378392E-2"/>
          <c:y val="0.21607881944444443"/>
          <c:w val="0.68316146474568451"/>
          <c:h val="0.67007951388888876"/>
        </c:manualLayout>
      </c:layout>
      <c:lineChart>
        <c:grouping val="standard"/>
        <c:varyColors val="0"/>
        <c:ser>
          <c:idx val="1"/>
          <c:order val="0"/>
          <c:tx>
            <c:strRef>
              <c:f>'Budgetary Resources Calculator'!$C$300</c:f>
              <c:strCache>
                <c:ptCount val="1"/>
                <c:pt idx="0">
                  <c:v>Spending limit (increased by tax-raising measures)</c:v>
                </c:pt>
              </c:strCache>
            </c:strRef>
          </c:tx>
          <c:spPr>
            <a:ln w="19050" cap="rnd">
              <a:solidFill>
                <a:schemeClr val="bg1">
                  <a:lumMod val="65000"/>
                </a:schemeClr>
              </a:solidFill>
              <a:prstDash val="sysDash"/>
              <a:round/>
            </a:ln>
            <a:effectLst/>
          </c:spPr>
          <c:marker>
            <c:symbol val="none"/>
          </c:marker>
          <c:cat>
            <c:numRef>
              <c:f>'Budgetary Resources Calculator'!$F$6:$K$6</c:f>
              <c:numCache>
                <c:formatCode>General</c:formatCode>
                <c:ptCount val="6"/>
                <c:pt idx="0">
                  <c:v>2025</c:v>
                </c:pt>
                <c:pt idx="1">
                  <c:v>2026</c:v>
                </c:pt>
                <c:pt idx="2">
                  <c:v>2027</c:v>
                </c:pt>
                <c:pt idx="3">
                  <c:v>2028</c:v>
                </c:pt>
                <c:pt idx="4">
                  <c:v>2029</c:v>
                </c:pt>
                <c:pt idx="5">
                  <c:v>2030</c:v>
                </c:pt>
              </c:numCache>
            </c:numRef>
          </c:cat>
          <c:val>
            <c:numRef>
              <c:f>'Budgetary Resources Calculator'!$F$300:$K$300</c:f>
              <c:numCache>
                <c:formatCode>#,##0_);\(#,##0\)</c:formatCode>
                <c:ptCount val="6"/>
                <c:pt idx="0" formatCode="#,##0">
                  <c:v>125215</c:v>
                </c:pt>
                <c:pt idx="1">
                  <c:v>132120.25</c:v>
                </c:pt>
                <c:pt idx="2">
                  <c:v>139338.53750000001</c:v>
                </c:pt>
                <c:pt idx="3">
                  <c:v>147047.014375</c:v>
                </c:pt>
                <c:pt idx="4">
                  <c:v>154454.61509375001</c:v>
                </c:pt>
                <c:pt idx="5">
                  <c:v>162224.59584843752</c:v>
                </c:pt>
              </c:numCache>
            </c:numRef>
          </c:val>
          <c:smooth val="0"/>
          <c:extLst>
            <c:ext xmlns:c16="http://schemas.microsoft.com/office/drawing/2014/chart" uri="{C3380CC4-5D6E-409C-BE32-E72D297353CC}">
              <c16:uniqueId val="{00000000-7FE3-46DB-BA56-178836FFDCD2}"/>
            </c:ext>
          </c:extLst>
        </c:ser>
        <c:ser>
          <c:idx val="0"/>
          <c:order val="1"/>
          <c:tx>
            <c:strRef>
              <c:f>'Budgetary Resources Calculator'!$C$301</c:f>
              <c:strCache>
                <c:ptCount val="1"/>
                <c:pt idx="0">
                  <c:v>Spending</c:v>
                </c:pt>
              </c:strCache>
            </c:strRef>
          </c:tx>
          <c:spPr>
            <a:ln w="19050" cap="rnd">
              <a:solidFill>
                <a:schemeClr val="accent4">
                  <a:lumMod val="75000"/>
                </a:schemeClr>
              </a:solidFill>
              <a:round/>
            </a:ln>
            <a:effectLst/>
          </c:spPr>
          <c:marker>
            <c:symbol val="none"/>
          </c:marker>
          <c:cat>
            <c:numRef>
              <c:f>'Budgetary Resources Calculator'!$F$6:$K$6</c:f>
              <c:numCache>
                <c:formatCode>General</c:formatCode>
                <c:ptCount val="6"/>
                <c:pt idx="0">
                  <c:v>2025</c:v>
                </c:pt>
                <c:pt idx="1">
                  <c:v>2026</c:v>
                </c:pt>
                <c:pt idx="2">
                  <c:v>2027</c:v>
                </c:pt>
                <c:pt idx="3">
                  <c:v>2028</c:v>
                </c:pt>
                <c:pt idx="4">
                  <c:v>2029</c:v>
                </c:pt>
                <c:pt idx="5">
                  <c:v>2030</c:v>
                </c:pt>
              </c:numCache>
            </c:numRef>
          </c:cat>
          <c:val>
            <c:numRef>
              <c:f>'Budgetary Resources Calculator'!$F$301:$K$301</c:f>
              <c:numCache>
                <c:formatCode>#,##0_);\(#,##0\)</c:formatCode>
                <c:ptCount val="6"/>
                <c:pt idx="0" formatCode="#,##0">
                  <c:v>125215</c:v>
                </c:pt>
                <c:pt idx="1">
                  <c:v>131085.05686432583</c:v>
                </c:pt>
                <c:pt idx="2">
                  <c:v>135118.45160351403</c:v>
                </c:pt>
                <c:pt idx="3">
                  <c:v>139954.38724805339</c:v>
                </c:pt>
                <c:pt idx="4">
                  <c:v>143724.94637824176</c:v>
                </c:pt>
                <c:pt idx="5">
                  <c:v>146897.65667810754</c:v>
                </c:pt>
              </c:numCache>
            </c:numRef>
          </c:val>
          <c:smooth val="0"/>
          <c:extLst>
            <c:ext xmlns:c16="http://schemas.microsoft.com/office/drawing/2014/chart" uri="{C3380CC4-5D6E-409C-BE32-E72D297353CC}">
              <c16:uniqueId val="{00000001-7FE3-46DB-BA56-178836FFDCD2}"/>
            </c:ext>
          </c:extLst>
        </c:ser>
        <c:dLbls>
          <c:showLegendKey val="0"/>
          <c:showVal val="0"/>
          <c:showCatName val="0"/>
          <c:showSerName val="0"/>
          <c:showPercent val="0"/>
          <c:showBubbleSize val="0"/>
        </c:dLbls>
        <c:smooth val="0"/>
        <c:axId val="1558864944"/>
        <c:axId val="1558867896"/>
      </c:lineChart>
      <c:catAx>
        <c:axId val="155886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558867896"/>
        <c:crosses val="autoZero"/>
        <c:auto val="1"/>
        <c:lblAlgn val="ctr"/>
        <c:lblOffset val="100"/>
        <c:noMultiLvlLbl val="0"/>
      </c:catAx>
      <c:valAx>
        <c:axId val="1558867896"/>
        <c:scaling>
          <c:orientation val="minMax"/>
          <c:min val="10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558864944"/>
        <c:crosses val="autoZero"/>
        <c:crossBetween val="between"/>
        <c:majorUnit val="20000"/>
        <c:dispUnits>
          <c:builtInUnit val="thousands"/>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Avenir Next LT Pro" panose="020B05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40280911659908E-2"/>
          <c:y val="0.25089113823749454"/>
          <c:w val="0.58867739653061546"/>
          <c:h val="0.60452887087871399"/>
        </c:manualLayout>
      </c:layout>
      <c:barChart>
        <c:barDir val="col"/>
        <c:grouping val="stacked"/>
        <c:varyColors val="0"/>
        <c:ser>
          <c:idx val="0"/>
          <c:order val="0"/>
          <c:tx>
            <c:v>Pre commitments and Stand Still costs</c:v>
          </c:tx>
          <c:spPr>
            <a:solidFill>
              <a:schemeClr val="accent4">
                <a:lumMod val="50000"/>
              </a:schemeClr>
            </a:solidFill>
            <a:ln>
              <a:noFill/>
            </a:ln>
            <a:effectLst/>
          </c:spPr>
          <c:invertIfNegative val="0"/>
          <c:cat>
            <c:numRef>
              <c:f>'Budgetary Resources Calculator'!$G$6:$K$6</c:f>
              <c:numCache>
                <c:formatCode>General</c:formatCode>
                <c:ptCount val="5"/>
                <c:pt idx="0">
                  <c:v>2026</c:v>
                </c:pt>
                <c:pt idx="1">
                  <c:v>2027</c:v>
                </c:pt>
                <c:pt idx="2">
                  <c:v>2028</c:v>
                </c:pt>
                <c:pt idx="3">
                  <c:v>2029</c:v>
                </c:pt>
                <c:pt idx="4">
                  <c:v>2030</c:v>
                </c:pt>
              </c:numCache>
            </c:numRef>
          </c:cat>
          <c:val>
            <c:numRef>
              <c:f>'Budgetary Resources Calculator'!$G$295:$K$295</c:f>
              <c:numCache>
                <c:formatCode>#,##0_);\(#,##0\)</c:formatCode>
                <c:ptCount val="5"/>
                <c:pt idx="0">
                  <c:v>5870.0568643258312</c:v>
                </c:pt>
                <c:pt idx="1">
                  <c:v>4033.3947391881939</c:v>
                </c:pt>
                <c:pt idx="2">
                  <c:v>4835.9356445393678</c:v>
                </c:pt>
                <c:pt idx="3">
                  <c:v>3770.5591301883551</c:v>
                </c:pt>
                <c:pt idx="4">
                  <c:v>3172.7102998657665</c:v>
                </c:pt>
              </c:numCache>
            </c:numRef>
          </c:val>
          <c:extLst>
            <c:ext xmlns:c16="http://schemas.microsoft.com/office/drawing/2014/chart" uri="{C3380CC4-5D6E-409C-BE32-E72D297353CC}">
              <c16:uniqueId val="{00000000-903C-41FE-AD0E-337C1E51536F}"/>
            </c:ext>
          </c:extLst>
        </c:ser>
        <c:ser>
          <c:idx val="2"/>
          <c:order val="1"/>
          <c:spPr>
            <a:solidFill>
              <a:schemeClr val="accent4"/>
            </a:solidFill>
            <a:ln>
              <a:noFill/>
            </a:ln>
            <a:effectLst/>
          </c:spPr>
          <c:invertIfNegative val="0"/>
          <c:cat>
            <c:numRef>
              <c:f>'Budgetary Resources Calculator'!$G$6:$K$6</c:f>
              <c:numCache>
                <c:formatCode>General</c:formatCode>
                <c:ptCount val="5"/>
                <c:pt idx="0">
                  <c:v>2026</c:v>
                </c:pt>
                <c:pt idx="1">
                  <c:v>2027</c:v>
                </c:pt>
                <c:pt idx="2">
                  <c:v>2028</c:v>
                </c:pt>
                <c:pt idx="3">
                  <c:v>2029</c:v>
                </c:pt>
                <c:pt idx="4">
                  <c:v>2030</c:v>
                </c:pt>
              </c:numCache>
            </c:numRef>
          </c:cat>
          <c:val>
            <c:numRef>
              <c:f>'Budgetary Resources Calculator'!$G$297:$K$297</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01-903C-41FE-AD0E-337C1E51536F}"/>
            </c:ext>
          </c:extLst>
        </c:ser>
        <c:ser>
          <c:idx val="1"/>
          <c:order val="2"/>
          <c:spPr>
            <a:solidFill>
              <a:schemeClr val="tx1">
                <a:lumMod val="50000"/>
                <a:lumOff val="50000"/>
                <a:alpha val="49804"/>
              </a:schemeClr>
            </a:solidFill>
            <a:ln>
              <a:noFill/>
            </a:ln>
            <a:effectLst/>
          </c:spPr>
          <c:invertIfNegative val="0"/>
          <c:dPt>
            <c:idx val="0"/>
            <c:invertIfNegative val="0"/>
            <c:bubble3D val="0"/>
            <c:spPr>
              <a:solidFill>
                <a:schemeClr val="tx1">
                  <a:lumMod val="50000"/>
                  <a:lumOff val="50000"/>
                  <a:alpha val="49804"/>
                </a:schemeClr>
              </a:solidFill>
              <a:ln>
                <a:noFill/>
              </a:ln>
              <a:effectLst/>
            </c:spPr>
            <c:extLst>
              <c:ext xmlns:c16="http://schemas.microsoft.com/office/drawing/2014/chart" uri="{C3380CC4-5D6E-409C-BE32-E72D297353CC}">
                <c16:uniqueId val="{00000003-903C-41FE-AD0E-337C1E51536F}"/>
              </c:ext>
            </c:extLst>
          </c:dPt>
          <c:cat>
            <c:numRef>
              <c:f>'Budgetary Resources Calculator'!$G$6:$K$6</c:f>
              <c:numCache>
                <c:formatCode>General</c:formatCode>
                <c:ptCount val="5"/>
                <c:pt idx="0">
                  <c:v>2026</c:v>
                </c:pt>
                <c:pt idx="1">
                  <c:v>2027</c:v>
                </c:pt>
                <c:pt idx="2">
                  <c:v>2028</c:v>
                </c:pt>
                <c:pt idx="3">
                  <c:v>2029</c:v>
                </c:pt>
                <c:pt idx="4">
                  <c:v>2030</c:v>
                </c:pt>
              </c:numCache>
            </c:numRef>
          </c:cat>
          <c:val>
            <c:numRef>
              <c:f>'Budgetary Resources Calculator'!$G$91:$K$91</c:f>
              <c:numCache>
                <c:formatCode>#,##0;[Color54]\-#,##0</c:formatCode>
                <c:ptCount val="5"/>
                <c:pt idx="0">
                  <c:v>1035.1931356741688</c:v>
                </c:pt>
                <c:pt idx="1">
                  <c:v>3184.892760811812</c:v>
                </c:pt>
                <c:pt idx="2">
                  <c:v>2872.5412304606252</c:v>
                </c:pt>
                <c:pt idx="3">
                  <c:v>3637.0415885616521</c:v>
                </c:pt>
                <c:pt idx="4">
                  <c:v>4597.2704548217425</c:v>
                </c:pt>
              </c:numCache>
            </c:numRef>
          </c:val>
          <c:extLst>
            <c:ext xmlns:c16="http://schemas.microsoft.com/office/drawing/2014/chart" uri="{C3380CC4-5D6E-409C-BE32-E72D297353CC}">
              <c16:uniqueId val="{00000004-903C-41FE-AD0E-337C1E51536F}"/>
            </c:ext>
          </c:extLst>
        </c:ser>
        <c:dLbls>
          <c:showLegendKey val="0"/>
          <c:showVal val="0"/>
          <c:showCatName val="0"/>
          <c:showSerName val="0"/>
          <c:showPercent val="0"/>
          <c:showBubbleSize val="0"/>
        </c:dLbls>
        <c:gapWidth val="25"/>
        <c:overlap val="100"/>
        <c:axId val="1485548256"/>
        <c:axId val="1485551864"/>
      </c:barChart>
      <c:catAx>
        <c:axId val="14855482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51864"/>
        <c:crosses val="autoZero"/>
        <c:auto val="1"/>
        <c:lblAlgn val="ctr"/>
        <c:lblOffset val="100"/>
        <c:noMultiLvlLbl val="0"/>
      </c:catAx>
      <c:valAx>
        <c:axId val="1485551864"/>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48256"/>
        <c:crosses val="autoZero"/>
        <c:crossBetween val="between"/>
        <c:majorUnit val="5000"/>
        <c:dispUnits>
          <c:builtInUnit val="thousands"/>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Avenir Next LT Pro" panose="020B05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37037037037019E-2"/>
          <c:y val="0.22553838504278817"/>
          <c:w val="0.86055879629629628"/>
          <c:h val="0.66014329156715856"/>
        </c:manualLayout>
      </c:layout>
      <c:barChart>
        <c:barDir val="col"/>
        <c:grouping val="clustered"/>
        <c:varyColors val="0"/>
        <c:ser>
          <c:idx val="1"/>
          <c:order val="0"/>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venir Next LT Pro"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'Budgetary Resources Calculator'!$F$6:$K$6</c:f>
              <c:numCache>
                <c:formatCode>General</c:formatCode>
                <c:ptCount val="6"/>
                <c:pt idx="0">
                  <c:v>2025</c:v>
                </c:pt>
                <c:pt idx="1">
                  <c:v>2026</c:v>
                </c:pt>
                <c:pt idx="2">
                  <c:v>2027</c:v>
                </c:pt>
                <c:pt idx="3">
                  <c:v>2028</c:v>
                </c:pt>
                <c:pt idx="4">
                  <c:v>2029</c:v>
                </c:pt>
                <c:pt idx="5">
                  <c:v>2030</c:v>
                </c:pt>
              </c:numCache>
            </c:numRef>
          </c:cat>
          <c:val>
            <c:numRef>
              <c:f>'Budgetary Resources Calculator'!$F$96:$K$96</c:f>
              <c:numCache>
                <c:formatCode>#,##0.0;\-#,##0.0</c:formatCode>
                <c:ptCount val="6"/>
                <c:pt idx="0">
                  <c:v>-1.723599926295456</c:v>
                </c:pt>
                <c:pt idx="1">
                  <c:v>-1.103703678856764</c:v>
                </c:pt>
                <c:pt idx="2">
                  <c:v>-0.26633050829477489</c:v>
                </c:pt>
                <c:pt idx="3">
                  <c:v>0.57763326364535084</c:v>
                </c:pt>
                <c:pt idx="4">
                  <c:v>1.1385397087236733</c:v>
                </c:pt>
                <c:pt idx="5">
                  <c:v>1.6841349263179179</c:v>
                </c:pt>
              </c:numCache>
            </c:numRef>
          </c:val>
          <c:extLst>
            <c:ext xmlns:c16="http://schemas.microsoft.com/office/drawing/2014/chart" uri="{C3380CC4-5D6E-409C-BE32-E72D297353CC}">
              <c16:uniqueId val="{00000000-D003-4B7A-941F-40AEE061FB93}"/>
            </c:ext>
          </c:extLst>
        </c:ser>
        <c:dLbls>
          <c:showLegendKey val="0"/>
          <c:showVal val="0"/>
          <c:showCatName val="0"/>
          <c:showSerName val="0"/>
          <c:showPercent val="0"/>
          <c:showBubbleSize val="0"/>
        </c:dLbls>
        <c:gapWidth val="25"/>
        <c:axId val="1485548256"/>
        <c:axId val="1485551864"/>
      </c:barChart>
      <c:catAx>
        <c:axId val="14855482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51864"/>
        <c:crosses val="autoZero"/>
        <c:auto val="1"/>
        <c:lblAlgn val="ctr"/>
        <c:lblOffset val="100"/>
        <c:noMultiLvlLbl val="0"/>
      </c:catAx>
      <c:valAx>
        <c:axId val="1485551864"/>
        <c:scaling>
          <c:orientation val="minMax"/>
          <c:min val="-3"/>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4825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Avenir Next LT Pro" panose="020B05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01851851851848E-2"/>
          <c:y val="0.22020918070081993"/>
          <c:w val="0.89987569444444448"/>
          <c:h val="0.64513551745522035"/>
        </c:manualLayout>
      </c:layout>
      <c:lineChart>
        <c:grouping val="standard"/>
        <c:varyColors val="0"/>
        <c:ser>
          <c:idx val="1"/>
          <c:order val="0"/>
          <c:tx>
            <c:strRef>
              <c:f>'Budgetary Resources Calculator'!$C$100</c:f>
              <c:strCache>
                <c:ptCount val="1"/>
                <c:pt idx="0">
                  <c:v>   % GNI*</c:v>
                </c:pt>
              </c:strCache>
            </c:strRef>
          </c:tx>
          <c:spPr>
            <a:ln w="28575" cap="rnd">
              <a:solidFill>
                <a:schemeClr val="tx1">
                  <a:lumMod val="65000"/>
                  <a:lumOff val="35000"/>
                </a:schemeClr>
              </a:solidFill>
              <a:round/>
            </a:ln>
            <a:effectLst/>
          </c:spPr>
          <c:marker>
            <c:symbol val="circle"/>
            <c:size val="6"/>
            <c:spPr>
              <a:solidFill>
                <a:schemeClr val="bg1"/>
              </a:solidFill>
              <a:ln w="9525">
                <a:solidFill>
                  <a:schemeClr val="tx1">
                    <a:lumMod val="65000"/>
                    <a:lumOff val="3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venir Next LT Pro" panose="020B05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'Budgetary Resources Calculator'!$D$6:$K$6</c:f>
              <c:numCache>
                <c:formatCode>General</c:formatCode>
                <c:ptCount val="8"/>
                <c:pt idx="0">
                  <c:v>2023</c:v>
                </c:pt>
                <c:pt idx="1">
                  <c:v>2024</c:v>
                </c:pt>
                <c:pt idx="2">
                  <c:v>2025</c:v>
                </c:pt>
                <c:pt idx="3">
                  <c:v>2026</c:v>
                </c:pt>
                <c:pt idx="4">
                  <c:v>2027</c:v>
                </c:pt>
                <c:pt idx="5">
                  <c:v>2028</c:v>
                </c:pt>
                <c:pt idx="6">
                  <c:v>2029</c:v>
                </c:pt>
                <c:pt idx="7">
                  <c:v>2030</c:v>
                </c:pt>
              </c:numCache>
            </c:numRef>
          </c:cat>
          <c:val>
            <c:numRef>
              <c:f>'Budgetary Resources Calculator'!$D$100:$K$100</c:f>
              <c:numCache>
                <c:formatCode>#,##0.0;\-#,##0.0</c:formatCode>
                <c:ptCount val="8"/>
                <c:pt idx="0">
                  <c:v>61.662970801642821</c:v>
                </c:pt>
                <c:pt idx="1">
                  <c:v>52.944952003394341</c:v>
                </c:pt>
                <c:pt idx="2">
                  <c:v>46.73968352662601</c:v>
                </c:pt>
                <c:pt idx="3">
                  <c:v>42.746201502343659</c:v>
                </c:pt>
                <c:pt idx="4">
                  <c:v>38.867325739987713</c:v>
                </c:pt>
                <c:pt idx="5">
                  <c:v>33.791522961017044</c:v>
                </c:pt>
                <c:pt idx="6">
                  <c:v>28.467452023103927</c:v>
                </c:pt>
                <c:pt idx="7">
                  <c:v>22.774896299814429</c:v>
                </c:pt>
              </c:numCache>
            </c:numRef>
          </c:val>
          <c:smooth val="0"/>
          <c:extLst>
            <c:ext xmlns:c16="http://schemas.microsoft.com/office/drawing/2014/chart" uri="{C3380CC4-5D6E-409C-BE32-E72D297353CC}">
              <c16:uniqueId val="{00000000-D584-408A-B2DB-B8D1E802F64C}"/>
            </c:ext>
          </c:extLst>
        </c:ser>
        <c:dLbls>
          <c:showLegendKey val="0"/>
          <c:showVal val="0"/>
          <c:showCatName val="0"/>
          <c:showSerName val="0"/>
          <c:showPercent val="0"/>
          <c:showBubbleSize val="0"/>
        </c:dLbls>
        <c:marker val="1"/>
        <c:smooth val="0"/>
        <c:axId val="1485548256"/>
        <c:axId val="1485551864"/>
      </c:lineChart>
      <c:catAx>
        <c:axId val="148554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51864"/>
        <c:crosses val="autoZero"/>
        <c:auto val="1"/>
        <c:lblAlgn val="ctr"/>
        <c:lblOffset val="100"/>
        <c:noMultiLvlLbl val="0"/>
      </c:catAx>
      <c:valAx>
        <c:axId val="14855518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n-US"/>
          </a:p>
        </c:txPr>
        <c:crossAx val="148554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Avenir Next LT Pro" panose="020B05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145677</xdr:rowOff>
    </xdr:from>
    <xdr:to>
      <xdr:col>5</xdr:col>
      <xdr:colOff>263338</xdr:colOff>
      <xdr:row>5</xdr:row>
      <xdr:rowOff>155798</xdr:rowOff>
    </xdr:to>
    <xdr:pic>
      <xdr:nvPicPr>
        <xdr:cNvPr id="8" name="Picture 7">
          <a:extLst>
            <a:ext uri="{FF2B5EF4-FFF2-40B4-BE49-F238E27FC236}">
              <a16:creationId xmlns:a16="http://schemas.microsoft.com/office/drawing/2014/main" id="{EA35D436-B34D-4535-AE62-4BC723CE0E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5677"/>
          <a:ext cx="3513044" cy="906592"/>
        </a:xfrm>
        <a:prstGeom prst="rect">
          <a:avLst/>
        </a:prstGeom>
      </xdr:spPr>
    </xdr:pic>
    <xdr:clientData/>
  </xdr:twoCellAnchor>
  <xdr:twoCellAnchor>
    <xdr:from>
      <xdr:col>0</xdr:col>
      <xdr:colOff>72837</xdr:colOff>
      <xdr:row>9</xdr:row>
      <xdr:rowOff>162485</xdr:rowOff>
    </xdr:from>
    <xdr:to>
      <xdr:col>12</xdr:col>
      <xdr:colOff>638734</xdr:colOff>
      <xdr:row>22</xdr:row>
      <xdr:rowOff>16808</xdr:rowOff>
    </xdr:to>
    <xdr:sp macro="" textlink="">
      <xdr:nvSpPr>
        <xdr:cNvPr id="9" name="TextBox 8">
          <a:extLst>
            <a:ext uri="{FF2B5EF4-FFF2-40B4-BE49-F238E27FC236}">
              <a16:creationId xmlns:a16="http://schemas.microsoft.com/office/drawing/2014/main" id="{ECEF6F2F-0A08-A389-BC73-514DD87E4DB0}"/>
            </a:ext>
          </a:extLst>
        </xdr:cNvPr>
        <xdr:cNvSpPr txBox="1"/>
      </xdr:nvSpPr>
      <xdr:spPr>
        <a:xfrm>
          <a:off x="72837" y="2314014"/>
          <a:ext cx="8365191" cy="2185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400" kern="1200">
              <a:latin typeface="Avenir Next LT Pro" panose="020B0504020202020204" pitchFamily="34" charset="0"/>
            </a:rPr>
            <a:t>This interactive calculator lets you to explore budgetary choices for the coming years as if you were the new Finance</a:t>
          </a:r>
          <a:r>
            <a:rPr lang="en-IE" sz="1400" kern="1200" baseline="0">
              <a:latin typeface="Avenir Next LT Pro" panose="020B0504020202020204" pitchFamily="34" charset="0"/>
            </a:rPr>
            <a:t> Minister</a:t>
          </a:r>
          <a:r>
            <a:rPr lang="en-IE" sz="1400" kern="1200">
              <a:latin typeface="Avenir Next LT Pro" panose="020B0504020202020204" pitchFamily="34" charset="0"/>
            </a:rPr>
            <a:t>. </a:t>
          </a:r>
        </a:p>
        <a:p>
          <a:endParaRPr lang="en-IE" sz="1400" kern="1200">
            <a:latin typeface="Avenir Next LT Pro" panose="020B0504020202020204" pitchFamily="34" charset="0"/>
          </a:endParaRPr>
        </a:p>
        <a:p>
          <a:r>
            <a:rPr lang="en-IE" sz="1400" kern="1200">
              <a:latin typeface="Avenir Next LT Pro" panose="020B0504020202020204" pitchFamily="34" charset="0"/>
            </a:rPr>
            <a:t>The</a:t>
          </a:r>
          <a:r>
            <a:rPr lang="en-IE" sz="1400" kern="1200" baseline="0">
              <a:latin typeface="Avenir Next LT Pro" panose="020B0504020202020204" pitchFamily="34" charset="0"/>
            </a:rPr>
            <a:t> calculator is intended as a more detailed tool to complement "Finance Minister - The Game". </a:t>
          </a:r>
          <a:endParaRPr lang="en-IE" sz="1400" kern="1200">
            <a:latin typeface="Avenir Next LT Pro" panose="020B0504020202020204" pitchFamily="34" charset="0"/>
          </a:endParaRPr>
        </a:p>
        <a:p>
          <a:endParaRPr lang="en-IE" sz="1400" kern="1200">
            <a:latin typeface="Avenir Next LT Pro" panose="020B0504020202020204" pitchFamily="34" charset="0"/>
          </a:endParaRPr>
        </a:p>
        <a:p>
          <a:r>
            <a:rPr lang="en-IE" sz="1400" kern="1200">
              <a:latin typeface="Avenir Next LT Pro" panose="020B0504020202020204" pitchFamily="34" charset="0"/>
            </a:rPr>
            <a:t>You can set your</a:t>
          </a:r>
          <a:r>
            <a:rPr lang="en-IE" sz="1400" kern="1200" baseline="0">
              <a:latin typeface="Avenir Next LT Pro" panose="020B0504020202020204" pitchFamily="34" charset="0"/>
            </a:rPr>
            <a:t> </a:t>
          </a:r>
          <a:r>
            <a:rPr lang="en-IE" sz="1400" kern="1200">
              <a:latin typeface="Avenir Next LT Pro" panose="020B0504020202020204" pitchFamily="34" charset="0"/>
            </a:rPr>
            <a:t>own tax and spending choices from 2026 on by adjusting</a:t>
          </a:r>
          <a:r>
            <a:rPr lang="en-IE" sz="1400" kern="1200" baseline="0">
              <a:latin typeface="Avenir Next LT Pro" panose="020B0504020202020204" pitchFamily="34" charset="0"/>
            </a:rPr>
            <a:t> pink cells: </a:t>
          </a:r>
          <a:endParaRPr lang="en-IE" sz="1400" kern="1200">
            <a:latin typeface="Avenir Next LT Pro" panose="020B0504020202020204" pitchFamily="34" charset="0"/>
          </a:endParaRPr>
        </a:p>
        <a:p>
          <a:endParaRPr lang="en-IE" sz="1400" kern="1200">
            <a:latin typeface="Avenir Next LT Pro" panose="020B0504020202020204" pitchFamily="34" charset="0"/>
          </a:endParaRPr>
        </a:p>
        <a:p>
          <a:r>
            <a:rPr lang="en-IE" sz="1400" kern="1200">
              <a:latin typeface="Avenir Next LT Pro" panose="020B0504020202020204" pitchFamily="34" charset="0"/>
            </a:rPr>
            <a:t>The calculator sets an overall limit for the available budgetar</a:t>
          </a:r>
          <a:r>
            <a:rPr lang="en-IE" sz="1400" kern="1200" baseline="0">
              <a:latin typeface="Avenir Next LT Pro" panose="020B0504020202020204" pitchFamily="34" charset="0"/>
            </a:rPr>
            <a:t>y resources </a:t>
          </a:r>
          <a:r>
            <a:rPr lang="en-IE" sz="1400" kern="1200">
              <a:latin typeface="Avenir Next LT Pro" panose="020B0504020202020204" pitchFamily="34" charset="0"/>
            </a:rPr>
            <a:t>based on</a:t>
          </a:r>
          <a:r>
            <a:rPr lang="en-IE" sz="1400" kern="1200" baseline="0">
              <a:latin typeface="Avenir Next LT Pro" panose="020B0504020202020204" pitchFamily="34" charset="0"/>
            </a:rPr>
            <a:t> key assumptions for sustainable growth. </a:t>
          </a:r>
          <a:endParaRPr lang="en-IE" sz="1400" kern="1200">
            <a:latin typeface="Avenir Next LT Pro" panose="020B0504020202020204" pitchFamily="34" charset="0"/>
          </a:endParaRPr>
        </a:p>
        <a:p>
          <a:endParaRPr lang="en-IE" sz="1400" kern="1200">
            <a:latin typeface="Avenir Next LT Pro" panose="020B0504020202020204" pitchFamily="34" charset="0"/>
          </a:endParaRPr>
        </a:p>
      </xdr:txBody>
    </xdr:sp>
    <xdr:clientData/>
  </xdr:twoCellAnchor>
  <xdr:twoCellAnchor>
    <xdr:from>
      <xdr:col>10</xdr:col>
      <xdr:colOff>633132</xdr:colOff>
      <xdr:row>16</xdr:row>
      <xdr:rowOff>56028</xdr:rowOff>
    </xdr:from>
    <xdr:to>
      <xdr:col>11</xdr:col>
      <xdr:colOff>392206</xdr:colOff>
      <xdr:row>17</xdr:row>
      <xdr:rowOff>72837</xdr:rowOff>
    </xdr:to>
    <xdr:sp macro="" textlink="">
      <xdr:nvSpPr>
        <xdr:cNvPr id="5" name="Rectangle 9">
          <a:extLst>
            <a:ext uri="{FF2B5EF4-FFF2-40B4-BE49-F238E27FC236}">
              <a16:creationId xmlns:a16="http://schemas.microsoft.com/office/drawing/2014/main" id="{BACC05E6-0DDB-5F61-93AE-012C1BF669A8}"/>
            </a:ext>
          </a:extLst>
        </xdr:cNvPr>
        <xdr:cNvSpPr/>
      </xdr:nvSpPr>
      <xdr:spPr>
        <a:xfrm>
          <a:off x="7132544" y="3462616"/>
          <a:ext cx="409015" cy="196103"/>
        </a:xfrm>
        <a:prstGeom prst="rect">
          <a:avLst/>
        </a:prstGeom>
        <a:solidFill>
          <a:schemeClr val="accent3">
            <a:lumMod val="10000"/>
            <a:lumOff val="9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kern="1200"/>
        </a:p>
      </xdr:txBody>
    </xdr:sp>
    <xdr:clientData/>
  </xdr:twoCellAnchor>
  <xdr:twoCellAnchor editAs="absolute">
    <xdr:from>
      <xdr:col>0</xdr:col>
      <xdr:colOff>0</xdr:colOff>
      <xdr:row>26</xdr:row>
      <xdr:rowOff>100852</xdr:rowOff>
    </xdr:from>
    <xdr:to>
      <xdr:col>16</xdr:col>
      <xdr:colOff>615986</xdr:colOff>
      <xdr:row>64</xdr:row>
      <xdr:rowOff>99678</xdr:rowOff>
    </xdr:to>
    <xdr:pic>
      <xdr:nvPicPr>
        <xdr:cNvPr id="2" name="Picture 3">
          <a:extLst>
            <a:ext uri="{FF2B5EF4-FFF2-40B4-BE49-F238E27FC236}">
              <a16:creationId xmlns:a16="http://schemas.microsoft.com/office/drawing/2014/main" id="{B0515046-49D5-4B84-8755-45037ED02280}"/>
            </a:ext>
          </a:extLst>
        </xdr:cNvPr>
        <xdr:cNvPicPr>
          <a:picLocks noChangeAspect="1"/>
        </xdr:cNvPicPr>
      </xdr:nvPicPr>
      <xdr:blipFill>
        <a:blip xmlns:r="http://schemas.openxmlformats.org/officeDocument/2006/relationships" r:embed="rId2"/>
        <a:stretch>
          <a:fillRect/>
        </a:stretch>
      </xdr:blipFill>
      <xdr:spPr>
        <a:xfrm>
          <a:off x="0" y="5485279"/>
          <a:ext cx="11015045" cy="6812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65920</xdr:colOff>
      <xdr:row>7</xdr:row>
      <xdr:rowOff>45653</xdr:rowOff>
    </xdr:from>
    <xdr:to>
      <xdr:col>9</xdr:col>
      <xdr:colOff>647964</xdr:colOff>
      <xdr:row>13</xdr:row>
      <xdr:rowOff>145844</xdr:rowOff>
    </xdr:to>
    <xdr:sp macro="" textlink="">
      <xdr:nvSpPr>
        <xdr:cNvPr id="17" name="Oval 16">
          <a:extLst>
            <a:ext uri="{FF2B5EF4-FFF2-40B4-BE49-F238E27FC236}">
              <a16:creationId xmlns:a16="http://schemas.microsoft.com/office/drawing/2014/main" id="{FED8E13E-5786-4F94-A671-9E3149DA0C49}"/>
            </a:ext>
          </a:extLst>
        </xdr:cNvPr>
        <xdr:cNvSpPr/>
      </xdr:nvSpPr>
      <xdr:spPr>
        <a:xfrm>
          <a:off x="8554376" y="1603271"/>
          <a:ext cx="1260000" cy="1260000"/>
        </a:xfrm>
        <a:prstGeom prst="ellipse">
          <a:avLst/>
        </a:prstGeom>
        <a:solidFill>
          <a:schemeClr val="accent3">
            <a:lumMod val="10000"/>
            <a:lumOff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108000" rIns="36000" bIns="0" rtlCol="0" anchor="t" anchorCtr="0"/>
        <a:lstStyle/>
        <a:p>
          <a:pPr algn="ctr"/>
          <a:r>
            <a:rPr lang="en-IE" sz="1800" b="1">
              <a:solidFill>
                <a:schemeClr val="tx1">
                  <a:lumMod val="85000"/>
                  <a:lumOff val="15000"/>
                </a:schemeClr>
              </a:solidFill>
              <a:latin typeface="Segoe UI" panose="020B0502040204020203" pitchFamily="34" charset="0"/>
              <a:cs typeface="Segoe UI" panose="020B0502040204020203" pitchFamily="34" charset="0"/>
            </a:rPr>
            <a:t>2% </a:t>
          </a:r>
        </a:p>
        <a:p>
          <a:pPr algn="ctr"/>
          <a:r>
            <a:rPr lang="en-IE" sz="1200">
              <a:solidFill>
                <a:schemeClr val="tx1">
                  <a:lumMod val="85000"/>
                  <a:lumOff val="15000"/>
                </a:schemeClr>
              </a:solidFill>
              <a:latin typeface="Segoe UI" panose="020B0502040204020203" pitchFamily="34" charset="0"/>
              <a:cs typeface="Segoe UI" panose="020B0502040204020203" pitchFamily="34" charset="0"/>
            </a:rPr>
            <a:t>Inflation </a:t>
          </a:r>
        </a:p>
      </xdr:txBody>
    </xdr:sp>
    <xdr:clientData/>
  </xdr:twoCellAnchor>
  <xdr:twoCellAnchor>
    <xdr:from>
      <xdr:col>6</xdr:col>
      <xdr:colOff>35857</xdr:colOff>
      <xdr:row>7</xdr:row>
      <xdr:rowOff>56030</xdr:rowOff>
    </xdr:from>
    <xdr:to>
      <xdr:col>8</xdr:col>
      <xdr:colOff>9524</xdr:colOff>
      <xdr:row>13</xdr:row>
      <xdr:rowOff>159396</xdr:rowOff>
    </xdr:to>
    <xdr:sp macro="" textlink="">
      <xdr:nvSpPr>
        <xdr:cNvPr id="33" name="Oval 17">
          <a:extLst>
            <a:ext uri="{FF2B5EF4-FFF2-40B4-BE49-F238E27FC236}">
              <a16:creationId xmlns:a16="http://schemas.microsoft.com/office/drawing/2014/main" id="{BCD1C3AD-BF53-4594-B345-F0D2530C3A14}"/>
            </a:ext>
          </a:extLst>
        </xdr:cNvPr>
        <xdr:cNvSpPr/>
      </xdr:nvSpPr>
      <xdr:spPr>
        <a:xfrm>
          <a:off x="6998632" y="1761005"/>
          <a:ext cx="1288117" cy="1303516"/>
        </a:xfrm>
        <a:prstGeom prst="ellipse">
          <a:avLst/>
        </a:prstGeom>
        <a:solidFill>
          <a:schemeClr val="accent3">
            <a:lumMod val="10000"/>
            <a:lumOff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108000" rIns="36000" bIns="36000" rtlCol="0" anchor="t" anchorCtr="0"/>
        <a:lstStyle/>
        <a:p>
          <a:pPr algn="ctr"/>
          <a:r>
            <a:rPr lang="en-IE" sz="1800" b="1">
              <a:solidFill>
                <a:schemeClr val="tx1">
                  <a:lumMod val="85000"/>
                  <a:lumOff val="15000"/>
                </a:schemeClr>
              </a:solidFill>
              <a:latin typeface="Segoe UI" panose="020B0502040204020203" pitchFamily="34" charset="0"/>
              <a:cs typeface="Segoe UI" panose="020B0502040204020203" pitchFamily="34" charset="0"/>
            </a:rPr>
            <a:t>3%</a:t>
          </a:r>
        </a:p>
        <a:p>
          <a:pPr algn="ctr"/>
          <a:r>
            <a:rPr lang="en-IE" sz="1200">
              <a:solidFill>
                <a:schemeClr val="tx1">
                  <a:lumMod val="85000"/>
                  <a:lumOff val="15000"/>
                </a:schemeClr>
              </a:solidFill>
              <a:latin typeface="Segoe UI" panose="020B0502040204020203" pitchFamily="34" charset="0"/>
              <a:cs typeface="Segoe UI" panose="020B0502040204020203" pitchFamily="34" charset="0"/>
            </a:rPr>
            <a:t>Sustainable</a:t>
          </a:r>
          <a:r>
            <a:rPr lang="en-IE" sz="1200" baseline="0">
              <a:solidFill>
                <a:schemeClr val="tx1">
                  <a:lumMod val="85000"/>
                  <a:lumOff val="15000"/>
                </a:schemeClr>
              </a:solidFill>
              <a:latin typeface="Segoe UI" panose="020B0502040204020203" pitchFamily="34" charset="0"/>
              <a:cs typeface="Segoe UI" panose="020B0502040204020203" pitchFamily="34" charset="0"/>
            </a:rPr>
            <a:t> </a:t>
          </a:r>
          <a:r>
            <a:rPr lang="en-IE" sz="1200">
              <a:solidFill>
                <a:schemeClr val="tx1">
                  <a:lumMod val="85000"/>
                  <a:lumOff val="15000"/>
                </a:schemeClr>
              </a:solidFill>
              <a:latin typeface="Segoe UI" panose="020B0502040204020203" pitchFamily="34" charset="0"/>
              <a:cs typeface="Segoe UI" panose="020B0502040204020203" pitchFamily="34" charset="0"/>
            </a:rPr>
            <a:t>Growth</a:t>
          </a:r>
        </a:p>
      </xdr:txBody>
    </xdr:sp>
    <xdr:clientData/>
  </xdr:twoCellAnchor>
  <xdr:twoCellAnchor>
    <xdr:from>
      <xdr:col>1</xdr:col>
      <xdr:colOff>448233</xdr:colOff>
      <xdr:row>107</xdr:row>
      <xdr:rowOff>0</xdr:rowOff>
    </xdr:from>
    <xdr:to>
      <xdr:col>3</xdr:col>
      <xdr:colOff>218514</xdr:colOff>
      <xdr:row>123</xdr:row>
      <xdr:rowOff>100941</xdr:rowOff>
    </xdr:to>
    <xdr:graphicFrame macro="">
      <xdr:nvGraphicFramePr>
        <xdr:cNvPr id="13" name="Chart 15">
          <a:extLst>
            <a:ext uri="{FF2B5EF4-FFF2-40B4-BE49-F238E27FC236}">
              <a16:creationId xmlns:a16="http://schemas.microsoft.com/office/drawing/2014/main" id="{ED042772-8E2E-4ED3-9700-B152AB61362A}"/>
            </a:ext>
            <a:ext uri="{147F2762-F138-4A5C-976F-8EAC2B608ADB}">
              <a16:predDERef xmlns:a16="http://schemas.microsoft.com/office/drawing/2014/main" pred="{E12C5BA8-B1B3-4553-9216-A50386431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107</xdr:row>
      <xdr:rowOff>0</xdr:rowOff>
    </xdr:from>
    <xdr:to>
      <xdr:col>10</xdr:col>
      <xdr:colOff>263471</xdr:colOff>
      <xdr:row>123</xdr:row>
      <xdr:rowOff>100941</xdr:rowOff>
    </xdr:to>
    <xdr:graphicFrame macro="">
      <xdr:nvGraphicFramePr>
        <xdr:cNvPr id="14" name="Chart 12">
          <a:extLst>
            <a:ext uri="{FF2B5EF4-FFF2-40B4-BE49-F238E27FC236}">
              <a16:creationId xmlns:a16="http://schemas.microsoft.com/office/drawing/2014/main" id="{16847144-D4BB-4F63-A314-CC72863C4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126</xdr:row>
      <xdr:rowOff>0</xdr:rowOff>
    </xdr:from>
    <xdr:to>
      <xdr:col>2</xdr:col>
      <xdr:colOff>4320000</xdr:colOff>
      <xdr:row>142</xdr:row>
      <xdr:rowOff>50516</xdr:rowOff>
    </xdr:to>
    <xdr:graphicFrame macro="">
      <xdr:nvGraphicFramePr>
        <xdr:cNvPr id="120" name="Chart 13">
          <a:extLst>
            <a:ext uri="{FF2B5EF4-FFF2-40B4-BE49-F238E27FC236}">
              <a16:creationId xmlns:a16="http://schemas.microsoft.com/office/drawing/2014/main" id="{12EABF0F-AE24-47EF-8135-98170751B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126</xdr:row>
      <xdr:rowOff>0</xdr:rowOff>
    </xdr:from>
    <xdr:to>
      <xdr:col>10</xdr:col>
      <xdr:colOff>263471</xdr:colOff>
      <xdr:row>142</xdr:row>
      <xdr:rowOff>50512</xdr:rowOff>
    </xdr:to>
    <xdr:graphicFrame macro="">
      <xdr:nvGraphicFramePr>
        <xdr:cNvPr id="121" name="Chart 6">
          <a:extLst>
            <a:ext uri="{FF2B5EF4-FFF2-40B4-BE49-F238E27FC236}">
              <a16:creationId xmlns:a16="http://schemas.microsoft.com/office/drawing/2014/main" id="{B3D0467D-C720-4994-8B34-35DC8D85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0.72632</cdr:x>
      <cdr:y>0.08365</cdr:y>
    </cdr:from>
    <cdr:to>
      <cdr:x>1</cdr:x>
      <cdr:y>0.42182</cdr:y>
    </cdr:to>
    <cdr:sp macro="" textlink="">
      <cdr:nvSpPr>
        <cdr:cNvPr id="2" name="TextBox 1">
          <a:extLst xmlns:a="http://schemas.openxmlformats.org/drawingml/2006/main">
            <a:ext uri="{FF2B5EF4-FFF2-40B4-BE49-F238E27FC236}">
              <a16:creationId xmlns:a16="http://schemas.microsoft.com/office/drawing/2014/main" id="{3C0BFE86-4A3D-473D-911C-300B09C8589F}"/>
            </a:ext>
          </a:extLst>
        </cdr:cNvPr>
        <cdr:cNvSpPr txBox="1"/>
      </cdr:nvSpPr>
      <cdr:spPr>
        <a:xfrm xmlns:a="http://schemas.openxmlformats.org/drawingml/2006/main">
          <a:off x="3479428" y="240926"/>
          <a:ext cx="1311088" cy="9739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00">
              <a:solidFill>
                <a:schemeClr val="bg1">
                  <a:lumMod val="50000"/>
                </a:schemeClr>
              </a:solidFill>
              <a:latin typeface="Segoe UI" panose="020B0502040204020203" pitchFamily="34" charset="0"/>
              <a:cs typeface="Segoe UI" panose="020B0502040204020203" pitchFamily="34" charset="0"/>
            </a:rPr>
            <a:t>Net spending</a:t>
          </a:r>
          <a:r>
            <a:rPr lang="en-IE" sz="1000" baseline="0">
              <a:solidFill>
                <a:schemeClr val="bg1">
                  <a:lumMod val="50000"/>
                </a:schemeClr>
              </a:solidFill>
              <a:latin typeface="Segoe UI" panose="020B0502040204020203" pitchFamily="34" charset="0"/>
              <a:cs typeface="Segoe UI" panose="020B0502040204020203" pitchFamily="34" charset="0"/>
            </a:rPr>
            <a:t> l</a:t>
          </a:r>
          <a:r>
            <a:rPr lang="en-IE" sz="1000">
              <a:solidFill>
                <a:schemeClr val="bg1">
                  <a:lumMod val="50000"/>
                </a:schemeClr>
              </a:solidFill>
              <a:latin typeface="Segoe UI" panose="020B0502040204020203" pitchFamily="34" charset="0"/>
              <a:cs typeface="Segoe UI" panose="020B0502040204020203" pitchFamily="34" charset="0"/>
            </a:rPr>
            <a:t>imit </a:t>
          </a:r>
        </a:p>
        <a:p xmlns:a="http://schemas.openxmlformats.org/drawingml/2006/main">
          <a:r>
            <a:rPr lang="en-IE" sz="1000">
              <a:solidFill>
                <a:schemeClr val="bg1">
                  <a:lumMod val="50000"/>
                </a:schemeClr>
              </a:solidFill>
              <a:latin typeface="Segoe UI" panose="020B0502040204020203" pitchFamily="34" charset="0"/>
              <a:cs typeface="Segoe UI" panose="020B0502040204020203" pitchFamily="34" charset="0"/>
            </a:rPr>
            <a:t>(raised by tax</a:t>
          </a:r>
          <a:r>
            <a:rPr lang="en-IE" sz="1000" baseline="0">
              <a:solidFill>
                <a:schemeClr val="bg1">
                  <a:lumMod val="50000"/>
                </a:schemeClr>
              </a:solidFill>
              <a:latin typeface="Segoe UI" panose="020B0502040204020203" pitchFamily="34" charset="0"/>
              <a:cs typeface="Segoe UI" panose="020B0502040204020203" pitchFamily="34" charset="0"/>
            </a:rPr>
            <a:t> increases)</a:t>
          </a:r>
          <a:endParaRPr lang="en-IE" sz="1000">
            <a:solidFill>
              <a:schemeClr val="bg1">
                <a:lumMod val="50000"/>
              </a:schemeClr>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0.72353</cdr:x>
      <cdr:y>0.34824</cdr:y>
    </cdr:from>
    <cdr:to>
      <cdr:x>0.89865</cdr:x>
      <cdr:y>0.51166</cdr:y>
    </cdr:to>
    <cdr:sp macro="" textlink="">
      <cdr:nvSpPr>
        <cdr:cNvPr id="3" name="TextBox 2">
          <a:extLst xmlns:a="http://schemas.openxmlformats.org/drawingml/2006/main">
            <a:ext uri="{FF2B5EF4-FFF2-40B4-BE49-F238E27FC236}">
              <a16:creationId xmlns:a16="http://schemas.microsoft.com/office/drawing/2014/main" id="{47F8FCA7-94FD-48A5-91F0-3D7EA7229FE2}"/>
            </a:ext>
          </a:extLst>
        </cdr:cNvPr>
        <cdr:cNvSpPr txBox="1"/>
      </cdr:nvSpPr>
      <cdr:spPr>
        <a:xfrm xmlns:a="http://schemas.openxmlformats.org/drawingml/2006/main">
          <a:off x="3466067" y="1002926"/>
          <a:ext cx="838928" cy="4706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00">
              <a:solidFill>
                <a:schemeClr val="accent4">
                  <a:lumMod val="50000"/>
                </a:schemeClr>
              </a:solidFill>
              <a:latin typeface="Segoe UI" panose="020B0502040204020203" pitchFamily="34" charset="0"/>
              <a:cs typeface="Segoe UI" panose="020B0502040204020203" pitchFamily="34" charset="0"/>
            </a:rPr>
            <a:t>Net Spending</a:t>
          </a:r>
        </a:p>
      </cdr:txBody>
    </cdr:sp>
  </cdr:relSizeAnchor>
  <cdr:relSizeAnchor xmlns:cdr="http://schemas.openxmlformats.org/drawingml/2006/chartDrawing">
    <cdr:from>
      <cdr:x>0</cdr:x>
      <cdr:y>0</cdr:y>
    </cdr:from>
    <cdr:to>
      <cdr:x>1</cdr:x>
      <cdr:y>0.26654</cdr:y>
    </cdr:to>
    <cdr:sp macro="" textlink="">
      <cdr:nvSpPr>
        <cdr:cNvPr id="4" name="TextBox 1">
          <a:extLst xmlns:a="http://schemas.openxmlformats.org/drawingml/2006/main">
            <a:ext uri="{FF2B5EF4-FFF2-40B4-BE49-F238E27FC236}">
              <a16:creationId xmlns:a16="http://schemas.microsoft.com/office/drawing/2014/main" id="{65F37190-0057-5C1A-B2F9-4553996CD63A}"/>
            </a:ext>
          </a:extLst>
        </cdr:cNvPr>
        <cdr:cNvSpPr txBox="1"/>
      </cdr:nvSpPr>
      <cdr:spPr>
        <a:xfrm xmlns:a="http://schemas.openxmlformats.org/drawingml/2006/main">
          <a:off x="0" y="0"/>
          <a:ext cx="3859493" cy="637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lang="en-IE" sz="1400" b="1"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n-IE" sz="1600" b="1"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Net Spending vs limit</a:t>
          </a:r>
        </a:p>
        <a:p xmlns:a="http://schemas.openxmlformats.org/drawingml/2006/main">
          <a:pPr marL="0" indent="0" algn="l" rtl="0">
            <a:defRPr sz="1400" b="1" i="0" u="none" strike="noStrike" kern="1200" spc="0" baseline="0">
              <a:solidFill>
                <a:sysClr val="windowText" lastClr="000000">
                  <a:lumMod val="65000"/>
                  <a:lumOff val="35000"/>
                </a:sysClr>
              </a:solidFill>
              <a:latin typeface="+mn-lt"/>
              <a:ea typeface="+mn-ea"/>
              <a:cs typeface="+mn-cs"/>
            </a:defRPr>
          </a:pPr>
          <a:r>
            <a:rPr lang="en-IE" sz="1200" b="0"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 billions</a:t>
          </a:r>
        </a:p>
      </cdr:txBody>
    </cdr:sp>
  </cdr:relSizeAnchor>
</c:userShapes>
</file>

<file path=xl/drawings/drawing4.xml><?xml version="1.0" encoding="utf-8"?>
<c:userShapes xmlns:c="http://schemas.openxmlformats.org/drawingml/2006/chart">
  <cdr:relSizeAnchor xmlns:cdr="http://schemas.openxmlformats.org/drawingml/2006/chartDrawing">
    <cdr:from>
      <cdr:x>0.68055</cdr:x>
      <cdr:y>0.22213</cdr:y>
    </cdr:from>
    <cdr:to>
      <cdr:x>1</cdr:x>
      <cdr:y>0.50723</cdr:y>
    </cdr:to>
    <cdr:sp macro="" textlink="">
      <cdr:nvSpPr>
        <cdr:cNvPr id="2" name="TextBox 1">
          <a:extLst xmlns:a="http://schemas.openxmlformats.org/drawingml/2006/main">
            <a:ext uri="{FF2B5EF4-FFF2-40B4-BE49-F238E27FC236}">
              <a16:creationId xmlns:a16="http://schemas.microsoft.com/office/drawing/2014/main" id="{79884927-628A-4A9D-9D38-7DFCD4ED2385}"/>
            </a:ext>
          </a:extLst>
        </cdr:cNvPr>
        <cdr:cNvSpPr txBox="1"/>
      </cdr:nvSpPr>
      <cdr:spPr>
        <a:xfrm xmlns:a="http://schemas.openxmlformats.org/drawingml/2006/main">
          <a:off x="2934257" y="648695"/>
          <a:ext cx="1377339" cy="8325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00">
              <a:solidFill>
                <a:schemeClr val="tx1">
                  <a:lumMod val="50000"/>
                  <a:lumOff val="50000"/>
                </a:schemeClr>
              </a:solidFill>
              <a:latin typeface="Avenir Next LT Pro" panose="020B0504020202020204" pitchFamily="34" charset="0"/>
              <a:cs typeface="Segoe UI" panose="020B0502040204020203" pitchFamily="34" charset="0"/>
            </a:rPr>
            <a:t>Resource gap (positive if you have unused</a:t>
          </a:r>
          <a:r>
            <a:rPr lang="en-IE" sz="1000" baseline="0">
              <a:solidFill>
                <a:schemeClr val="tx1">
                  <a:lumMod val="50000"/>
                  <a:lumOff val="50000"/>
                </a:schemeClr>
              </a:solidFill>
              <a:latin typeface="Avenir Next LT Pro" panose="020B0504020202020204" pitchFamily="34" charset="0"/>
              <a:cs typeface="Segoe UI" panose="020B0502040204020203" pitchFamily="34" charset="0"/>
            </a:rPr>
            <a:t> resources)</a:t>
          </a:r>
          <a:endParaRPr lang="en-IE" sz="1000">
            <a:solidFill>
              <a:schemeClr val="tx1">
                <a:lumMod val="50000"/>
                <a:lumOff val="50000"/>
              </a:schemeClr>
            </a:solidFill>
            <a:latin typeface="Avenir Next LT Pro" panose="020B0504020202020204" pitchFamily="34" charset="0"/>
            <a:cs typeface="Segoe UI" panose="020B0502040204020203" pitchFamily="34" charset="0"/>
          </a:endParaRPr>
        </a:p>
      </cdr:txBody>
    </cdr:sp>
  </cdr:relSizeAnchor>
  <cdr:relSizeAnchor xmlns:cdr="http://schemas.openxmlformats.org/drawingml/2006/chartDrawing">
    <cdr:from>
      <cdr:x>0.68615</cdr:x>
      <cdr:y>0.62378</cdr:y>
    </cdr:from>
    <cdr:to>
      <cdr:x>1</cdr:x>
      <cdr:y>0.89576</cdr:y>
    </cdr:to>
    <cdr:sp macro="" textlink="">
      <cdr:nvSpPr>
        <cdr:cNvPr id="3" name="TextBox 2">
          <a:extLst xmlns:a="http://schemas.openxmlformats.org/drawingml/2006/main">
            <a:ext uri="{FF2B5EF4-FFF2-40B4-BE49-F238E27FC236}">
              <a16:creationId xmlns:a16="http://schemas.microsoft.com/office/drawing/2014/main" id="{22F67DB3-B4EF-4FB6-92CA-9467A08779D1}"/>
            </a:ext>
          </a:extLst>
        </cdr:cNvPr>
        <cdr:cNvSpPr txBox="1"/>
      </cdr:nvSpPr>
      <cdr:spPr>
        <a:xfrm xmlns:a="http://schemas.openxmlformats.org/drawingml/2006/main">
          <a:off x="2958402" y="1821638"/>
          <a:ext cx="1353194" cy="794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00">
              <a:solidFill>
                <a:schemeClr val="accent4">
                  <a:lumMod val="50000"/>
                </a:schemeClr>
              </a:solidFill>
              <a:latin typeface="Avenir Next LT Pro" panose="020B0504020202020204" pitchFamily="34" charset="0"/>
              <a:cs typeface="Segoe UI" panose="020B0502040204020203" pitchFamily="34" charset="0"/>
            </a:rPr>
            <a:t>Pre-commitments and Stand</a:t>
          </a:r>
          <a:r>
            <a:rPr lang="en-IE" sz="1000" baseline="0">
              <a:solidFill>
                <a:schemeClr val="accent4">
                  <a:lumMod val="50000"/>
                </a:schemeClr>
              </a:solidFill>
              <a:latin typeface="Avenir Next LT Pro" panose="020B0504020202020204" pitchFamily="34" charset="0"/>
              <a:cs typeface="Segoe UI" panose="020B0502040204020203" pitchFamily="34" charset="0"/>
            </a:rPr>
            <a:t>-Still costs</a:t>
          </a:r>
          <a:endParaRPr lang="en-IE" sz="1000">
            <a:solidFill>
              <a:schemeClr val="accent4">
                <a:lumMod val="50000"/>
              </a:schemeClr>
            </a:solidFill>
            <a:latin typeface="Avenir Next LT Pro" panose="020B0504020202020204" pitchFamily="34" charset="0"/>
            <a:cs typeface="Segoe UI" panose="020B0502040204020203" pitchFamily="34" charset="0"/>
          </a:endParaRPr>
        </a:p>
      </cdr:txBody>
    </cdr:sp>
  </cdr:relSizeAnchor>
  <cdr:relSizeAnchor xmlns:cdr="http://schemas.openxmlformats.org/drawingml/2006/chartDrawing">
    <cdr:from>
      <cdr:x>0.68034</cdr:x>
      <cdr:y>0.45021</cdr:y>
    </cdr:from>
    <cdr:to>
      <cdr:x>1</cdr:x>
      <cdr:y>0.68105</cdr:y>
    </cdr:to>
    <cdr:sp macro="" textlink="">
      <cdr:nvSpPr>
        <cdr:cNvPr id="4" name="TextBox 1">
          <a:extLst xmlns:a="http://schemas.openxmlformats.org/drawingml/2006/main">
            <a:ext uri="{FF2B5EF4-FFF2-40B4-BE49-F238E27FC236}">
              <a16:creationId xmlns:a16="http://schemas.microsoft.com/office/drawing/2014/main" id="{57C91E0B-DFEA-3783-0CA7-60F673F9BFA8}"/>
            </a:ext>
          </a:extLst>
        </cdr:cNvPr>
        <cdr:cNvSpPr txBox="1"/>
      </cdr:nvSpPr>
      <cdr:spPr>
        <a:xfrm xmlns:a="http://schemas.openxmlformats.org/drawingml/2006/main">
          <a:off x="2861982" y="1185582"/>
          <a:ext cx="1344704" cy="6078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000">
              <a:solidFill>
                <a:schemeClr val="accent4"/>
              </a:solidFill>
              <a:latin typeface="Avenir Next LT Pro" panose="020B0504020202020204" pitchFamily="34" charset="0"/>
              <a:cs typeface="Segoe UI" panose="020B0502040204020203" pitchFamily="34" charset="0"/>
            </a:rPr>
            <a:t>Resources used for new </a:t>
          </a:r>
          <a:r>
            <a:rPr lang="en-IE" sz="1000" baseline="0">
              <a:solidFill>
                <a:schemeClr val="accent4"/>
              </a:solidFill>
              <a:latin typeface="Avenir Next LT Pro" panose="020B0504020202020204" pitchFamily="34" charset="0"/>
              <a:cs typeface="Segoe UI" panose="020B0502040204020203" pitchFamily="34" charset="0"/>
            </a:rPr>
            <a:t>measures</a:t>
          </a:r>
          <a:endParaRPr lang="en-IE" sz="1000">
            <a:solidFill>
              <a:schemeClr val="accent4"/>
            </a:solidFill>
            <a:latin typeface="Avenir Next LT Pro" panose="020B0504020202020204" pitchFamily="34" charset="0"/>
            <a:cs typeface="Segoe UI" panose="020B0502040204020203" pitchFamily="34" charset="0"/>
          </a:endParaRPr>
        </a:p>
      </cdr:txBody>
    </cdr:sp>
  </cdr:relSizeAnchor>
  <cdr:relSizeAnchor xmlns:cdr="http://schemas.openxmlformats.org/drawingml/2006/chartDrawing">
    <cdr:from>
      <cdr:x>0</cdr:x>
      <cdr:y>0</cdr:y>
    </cdr:from>
    <cdr:to>
      <cdr:x>1</cdr:x>
      <cdr:y>0.23192</cdr:y>
    </cdr:to>
    <cdr:sp macro="" textlink="">
      <cdr:nvSpPr>
        <cdr:cNvPr id="6" name="TextBox 1">
          <a:extLst xmlns:a="http://schemas.openxmlformats.org/drawingml/2006/main">
            <a:ext uri="{FF2B5EF4-FFF2-40B4-BE49-F238E27FC236}">
              <a16:creationId xmlns:a16="http://schemas.microsoft.com/office/drawing/2014/main" id="{508F48C2-6674-FF44-5ABE-1D2D8E812A67}"/>
            </a:ext>
          </a:extLst>
        </cdr:cNvPr>
        <cdr:cNvSpPr txBox="1"/>
      </cdr:nvSpPr>
      <cdr:spPr>
        <a:xfrm xmlns:a="http://schemas.openxmlformats.org/drawingml/2006/main">
          <a:off x="0" y="0"/>
          <a:ext cx="4206686" cy="6107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400" b="1" i="0" u="none" strike="noStrike" kern="1200" spc="0" baseline="0">
              <a:solidFill>
                <a:sysClr val="windowText" lastClr="000000">
                  <a:lumMod val="65000"/>
                  <a:lumOff val="35000"/>
                </a:sysClr>
              </a:solidFill>
              <a:latin typeface="+mn-lt"/>
              <a:ea typeface="+mn-ea"/>
              <a:cs typeface="+mn-cs"/>
            </a:defRPr>
          </a:pPr>
          <a:r>
            <a:rPr lang="en-IE" sz="1600" b="1"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Budgetary</a:t>
          </a:r>
          <a:r>
            <a:rPr lang="en-IE" sz="1600" b="1">
              <a:latin typeface="Avenir Next LT Pro" panose="020B0504020202020204" pitchFamily="34" charset="0"/>
              <a:cs typeface="Segoe UI" panose="020B0502040204020203" pitchFamily="34" charset="0"/>
            </a:rPr>
            <a:t> resources </a:t>
          </a:r>
        </a:p>
        <a:p xmlns:a="http://schemas.openxmlformats.org/drawingml/2006/main">
          <a:pPr algn="l" rtl="0">
            <a:defRPr sz="1400" b="1" i="0" u="none" strike="noStrike" kern="1200" spc="0" baseline="0">
              <a:solidFill>
                <a:sysClr val="windowText" lastClr="000000">
                  <a:lumMod val="65000"/>
                  <a:lumOff val="35000"/>
                </a:sysClr>
              </a:solidFill>
              <a:latin typeface="+mn-lt"/>
              <a:ea typeface="+mn-ea"/>
              <a:cs typeface="+mn-cs"/>
            </a:defRPr>
          </a:pPr>
          <a:r>
            <a:rPr lang="en-IE" sz="1200" b="0"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 billions</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0.01453</cdr:y>
    </cdr:from>
    <cdr:to>
      <cdr:x>1</cdr:x>
      <cdr:y>0.25468</cdr:y>
    </cdr:to>
    <cdr:sp macro="" textlink="">
      <cdr:nvSpPr>
        <cdr:cNvPr id="2" name="TextBox 1">
          <a:extLst xmlns:a="http://schemas.openxmlformats.org/drawingml/2006/main">
            <a:ext uri="{FF2B5EF4-FFF2-40B4-BE49-F238E27FC236}">
              <a16:creationId xmlns:a16="http://schemas.microsoft.com/office/drawing/2014/main" id="{2A807F1D-B9F1-C804-8BC6-6947AAD9DD6E}"/>
            </a:ext>
          </a:extLst>
        </cdr:cNvPr>
        <cdr:cNvSpPr txBox="1"/>
      </cdr:nvSpPr>
      <cdr:spPr>
        <a:xfrm xmlns:a="http://schemas.openxmlformats.org/drawingml/2006/main">
          <a:off x="0" y="36965"/>
          <a:ext cx="3762562" cy="6107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400" b="1" i="0" u="none" strike="noStrike" kern="1200" spc="0" baseline="0">
              <a:solidFill>
                <a:sysClr val="windowText" lastClr="000000">
                  <a:lumMod val="65000"/>
                  <a:lumOff val="35000"/>
                </a:sysClr>
              </a:solidFill>
              <a:latin typeface="+mn-lt"/>
              <a:ea typeface="+mn-ea"/>
              <a:cs typeface="+mn-cs"/>
            </a:defRPr>
          </a:pPr>
          <a:r>
            <a:rPr lang="en-IE" sz="1600" b="1"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Budget balance</a:t>
          </a:r>
        </a:p>
        <a:p xmlns:a="http://schemas.openxmlformats.org/drawingml/2006/main">
          <a:pPr marL="0" indent="0" algn="l" rtl="0">
            <a:defRPr sz="1400" b="1" i="0" u="none" strike="noStrike" kern="1200" spc="0" baseline="0">
              <a:solidFill>
                <a:sysClr val="windowText" lastClr="000000">
                  <a:lumMod val="65000"/>
                  <a:lumOff val="35000"/>
                </a:sysClr>
              </a:solidFill>
              <a:latin typeface="+mn-lt"/>
              <a:ea typeface="+mn-ea"/>
              <a:cs typeface="+mn-cs"/>
            </a:defRPr>
          </a:pPr>
          <a:r>
            <a:rPr lang="en-IE" sz="1200" b="0"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 GNI*, excludes excess corporation tax</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0.00122</cdr:y>
    </cdr:from>
    <cdr:to>
      <cdr:x>1</cdr:x>
      <cdr:y>0.23513</cdr:y>
    </cdr:to>
    <cdr:sp macro="" textlink="">
      <cdr:nvSpPr>
        <cdr:cNvPr id="2" name="TextBox 1">
          <a:extLst xmlns:a="http://schemas.openxmlformats.org/drawingml/2006/main">
            <a:ext uri="{FF2B5EF4-FFF2-40B4-BE49-F238E27FC236}">
              <a16:creationId xmlns:a16="http://schemas.microsoft.com/office/drawing/2014/main" id="{4972B1B0-C8F3-DAF0-134D-32729E8A4E43}"/>
            </a:ext>
          </a:extLst>
        </cdr:cNvPr>
        <cdr:cNvSpPr txBox="1"/>
      </cdr:nvSpPr>
      <cdr:spPr>
        <a:xfrm xmlns:a="http://schemas.openxmlformats.org/drawingml/2006/main">
          <a:off x="0" y="3175"/>
          <a:ext cx="3728494" cy="6107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400" b="1" i="0" u="none" strike="noStrike" kern="1200" spc="0" baseline="0">
              <a:solidFill>
                <a:sysClr val="windowText" lastClr="000000">
                  <a:lumMod val="65000"/>
                  <a:lumOff val="35000"/>
                </a:sysClr>
              </a:solidFill>
              <a:latin typeface="+mn-lt"/>
              <a:ea typeface="+mn-ea"/>
              <a:cs typeface="+mn-cs"/>
            </a:defRPr>
          </a:pPr>
          <a:r>
            <a:rPr lang="en-IE" sz="1600" b="1"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Net Debt ratio</a:t>
          </a:r>
        </a:p>
        <a:p xmlns:a="http://schemas.openxmlformats.org/drawingml/2006/main">
          <a:pPr marL="0" indent="0" algn="l" rtl="0">
            <a:defRPr sz="1400" b="1" i="0" u="none" strike="noStrike" kern="1200" spc="0" baseline="0">
              <a:solidFill>
                <a:sysClr val="windowText" lastClr="000000">
                  <a:lumMod val="65000"/>
                  <a:lumOff val="35000"/>
                </a:sysClr>
              </a:solidFill>
              <a:latin typeface="+mn-lt"/>
              <a:ea typeface="+mn-ea"/>
              <a:cs typeface="+mn-cs"/>
            </a:defRPr>
          </a:pPr>
          <a:r>
            <a:rPr lang="en-IE" sz="1200" b="0" i="0" u="none" strike="noStrike" kern="1200" spc="0" baseline="0">
              <a:solidFill>
                <a:sysClr val="windowText" lastClr="000000">
                  <a:lumMod val="65000"/>
                  <a:lumOff val="35000"/>
                </a:sysClr>
              </a:solidFill>
              <a:latin typeface="Avenir Next LT Pro" panose="020B0504020202020204" pitchFamily="34" charset="0"/>
              <a:ea typeface="+mn-ea"/>
              <a:cs typeface="Segoe UI" panose="020B0502040204020203" pitchFamily="34" charset="0"/>
            </a:rPr>
            <a:t>% GNI*</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Ifac">
      <a:dk1>
        <a:sysClr val="windowText" lastClr="000000"/>
      </a:dk1>
      <a:lt1>
        <a:sysClr val="window" lastClr="FFFFFF"/>
      </a:lt1>
      <a:dk2>
        <a:srgbClr val="1F497D"/>
      </a:dk2>
      <a:lt2>
        <a:srgbClr val="0A3D50"/>
      </a:lt2>
      <a:accent1>
        <a:srgbClr val="4F81BD"/>
      </a:accent1>
      <a:accent2>
        <a:srgbClr val="63DFEB"/>
      </a:accent2>
      <a:accent3>
        <a:srgbClr val="4F093C"/>
      </a:accent3>
      <a:accent4>
        <a:srgbClr val="48AC98"/>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oireachtas.ie/ie/oireachtas/parliamentaryBudgetOffice/2024/2024-09-26_pbo-pre-budget-2025-ready-reckoner_en.pdf" TargetMode="External"/><Relationship Id="rId1" Type="http://schemas.openxmlformats.org/officeDocument/2006/relationships/hyperlink" Target="https://www.revenue.ie/en/corporate/documents/statistics/ready-reckoner.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933C-F6DF-45C0-9D64-7F5B14D48722}">
  <dimension ref="A1:Q55"/>
  <sheetViews>
    <sheetView zoomScale="85" zoomScaleNormal="85" workbookViewId="0">
      <selection activeCell="D9" sqref="D9"/>
    </sheetView>
  </sheetViews>
  <sheetFormatPr defaultColWidth="9.1328125" defaultRowHeight="14.25" x14ac:dyDescent="0.45"/>
  <cols>
    <col min="1" max="16384" width="9.1328125" style="37"/>
  </cols>
  <sheetData>
    <row r="1" spans="1:17" x14ac:dyDescent="0.45">
      <c r="A1" s="38"/>
      <c r="B1" s="38"/>
      <c r="C1" s="38"/>
      <c r="D1" s="38"/>
      <c r="E1" s="38"/>
      <c r="F1" s="38"/>
      <c r="G1" s="38"/>
      <c r="H1" s="38"/>
      <c r="I1" s="38"/>
      <c r="J1" s="38"/>
      <c r="K1" s="38"/>
      <c r="L1" s="38"/>
      <c r="M1" s="38"/>
      <c r="N1" s="38"/>
      <c r="O1" s="38"/>
      <c r="P1" s="38"/>
      <c r="Q1" s="38"/>
    </row>
    <row r="2" spans="1:17" x14ac:dyDescent="0.45">
      <c r="A2" s="38"/>
      <c r="B2" s="38"/>
      <c r="C2" s="38"/>
      <c r="D2" s="38"/>
      <c r="E2" s="38"/>
      <c r="F2" s="38"/>
      <c r="G2" s="38"/>
      <c r="H2" s="38"/>
      <c r="I2" s="38"/>
      <c r="J2" s="38"/>
      <c r="K2" s="38"/>
      <c r="L2" s="38"/>
      <c r="M2" s="38"/>
      <c r="N2" s="38"/>
      <c r="O2" s="38"/>
      <c r="P2" s="38"/>
      <c r="Q2" s="38"/>
    </row>
    <row r="3" spans="1:17" x14ac:dyDescent="0.45">
      <c r="A3" s="38"/>
      <c r="B3" s="38"/>
      <c r="C3" s="38"/>
      <c r="D3" s="38"/>
      <c r="E3" s="38"/>
      <c r="F3" s="38"/>
      <c r="G3" s="38"/>
      <c r="H3" s="38"/>
      <c r="I3" s="38"/>
      <c r="J3" s="38"/>
      <c r="K3" s="38"/>
      <c r="L3" s="38"/>
      <c r="M3" s="38"/>
      <c r="N3" s="38"/>
      <c r="O3" s="38"/>
      <c r="P3" s="38"/>
      <c r="Q3" s="38"/>
    </row>
    <row r="4" spans="1:17" x14ac:dyDescent="0.45">
      <c r="A4" s="38"/>
      <c r="B4" s="38"/>
      <c r="C4" s="38"/>
      <c r="D4" s="38"/>
      <c r="E4" s="38"/>
      <c r="F4" s="38"/>
      <c r="G4" s="38"/>
      <c r="H4" s="38"/>
      <c r="I4" s="38"/>
      <c r="J4" s="38"/>
      <c r="K4" s="38"/>
      <c r="L4" s="38"/>
      <c r="M4" s="38"/>
      <c r="N4" s="38"/>
      <c r="O4" s="38"/>
      <c r="P4" s="38"/>
      <c r="Q4" s="38"/>
    </row>
    <row r="5" spans="1:17" x14ac:dyDescent="0.45">
      <c r="A5" s="38"/>
      <c r="B5" s="38"/>
      <c r="C5" s="38"/>
      <c r="D5" s="38"/>
      <c r="E5" s="38"/>
      <c r="F5" s="38"/>
      <c r="G5" s="38"/>
      <c r="H5" s="38"/>
      <c r="I5" s="38"/>
      <c r="J5" s="38"/>
      <c r="K5" s="38"/>
      <c r="L5" s="38"/>
      <c r="M5" s="38"/>
      <c r="N5" s="38"/>
      <c r="O5" s="38"/>
      <c r="P5" s="38"/>
      <c r="Q5" s="38"/>
    </row>
    <row r="6" spans="1:17" x14ac:dyDescent="0.45">
      <c r="A6" s="38"/>
      <c r="B6" s="38"/>
      <c r="C6" s="38"/>
      <c r="D6" s="38"/>
      <c r="E6" s="38"/>
      <c r="F6" s="38"/>
      <c r="G6" s="38"/>
      <c r="H6" s="38"/>
      <c r="I6" s="38"/>
      <c r="J6" s="38"/>
      <c r="K6" s="38"/>
      <c r="L6" s="38"/>
      <c r="M6" s="38"/>
      <c r="N6" s="38"/>
      <c r="O6" s="38"/>
      <c r="P6" s="38"/>
      <c r="Q6" s="38"/>
    </row>
    <row r="7" spans="1:17" ht="28.15" x14ac:dyDescent="0.8">
      <c r="A7" s="49" t="s">
        <v>152</v>
      </c>
      <c r="B7" s="38"/>
      <c r="C7" s="38"/>
      <c r="D7" s="38"/>
      <c r="E7" s="38"/>
      <c r="F7" s="38"/>
      <c r="G7" s="38"/>
      <c r="H7" s="38"/>
      <c r="I7" s="38"/>
      <c r="J7" s="38"/>
      <c r="K7" s="38"/>
      <c r="L7" s="38"/>
      <c r="M7" s="38"/>
      <c r="N7" s="38"/>
      <c r="O7" s="38"/>
      <c r="P7" s="38"/>
      <c r="Q7" s="38"/>
    </row>
    <row r="8" spans="1:17" ht="28.15" x14ac:dyDescent="0.8">
      <c r="A8" s="49" t="s">
        <v>153</v>
      </c>
      <c r="B8" s="38"/>
      <c r="C8" s="38"/>
      <c r="D8" s="38"/>
      <c r="E8" s="38"/>
      <c r="F8" s="38"/>
      <c r="G8" s="38"/>
      <c r="H8" s="38"/>
      <c r="I8" s="38"/>
      <c r="J8" s="38"/>
      <c r="K8" s="38"/>
      <c r="L8" s="38"/>
      <c r="M8" s="38"/>
      <c r="N8" s="38"/>
      <c r="O8" s="38"/>
      <c r="P8" s="38"/>
      <c r="Q8" s="38"/>
    </row>
    <row r="9" spans="1:17" ht="28.15" x14ac:dyDescent="0.8">
      <c r="A9" s="49" t="s">
        <v>154</v>
      </c>
      <c r="B9" s="38"/>
      <c r="C9" s="38"/>
      <c r="D9" s="38" t="s">
        <v>159</v>
      </c>
      <c r="E9" s="38"/>
      <c r="F9" s="38"/>
      <c r="G9" s="38"/>
      <c r="H9" s="38"/>
      <c r="I9" s="38"/>
      <c r="J9" s="38"/>
      <c r="K9" s="38"/>
      <c r="L9" s="38"/>
      <c r="M9" s="38"/>
      <c r="N9" s="38"/>
      <c r="O9" s="38"/>
      <c r="P9" s="38"/>
      <c r="Q9" s="38"/>
    </row>
    <row r="10" spans="1:17" x14ac:dyDescent="0.45">
      <c r="A10" s="38"/>
      <c r="B10" s="38"/>
      <c r="C10" s="38"/>
      <c r="D10" s="38"/>
      <c r="E10" s="38"/>
      <c r="F10" s="38"/>
      <c r="G10" s="38"/>
      <c r="H10" s="38"/>
      <c r="I10" s="38"/>
      <c r="J10" s="38"/>
      <c r="K10" s="38"/>
      <c r="L10" s="38"/>
      <c r="M10" s="38"/>
      <c r="N10" s="38"/>
      <c r="O10" s="38"/>
      <c r="P10" s="38"/>
      <c r="Q10" s="38"/>
    </row>
    <row r="11" spans="1:17" x14ac:dyDescent="0.45">
      <c r="A11" s="38"/>
      <c r="B11" s="38"/>
      <c r="C11" s="38"/>
      <c r="D11" s="38"/>
      <c r="E11" s="38"/>
      <c r="F11" s="38"/>
      <c r="G11" s="38"/>
      <c r="H11" s="38"/>
      <c r="I11" s="38"/>
      <c r="J11" s="38"/>
      <c r="K11" s="38"/>
      <c r="L11" s="38"/>
      <c r="M11" s="38"/>
      <c r="N11" s="38"/>
      <c r="O11" s="38"/>
      <c r="P11" s="38"/>
      <c r="Q11" s="38"/>
    </row>
    <row r="12" spans="1:17" x14ac:dyDescent="0.45">
      <c r="A12" s="38"/>
      <c r="B12" s="38"/>
      <c r="C12" s="38"/>
      <c r="D12" s="38"/>
      <c r="E12" s="38"/>
      <c r="F12" s="38"/>
      <c r="G12" s="38"/>
      <c r="H12" s="38"/>
      <c r="I12" s="38"/>
      <c r="J12" s="38"/>
      <c r="K12" s="38"/>
      <c r="L12" s="38"/>
      <c r="M12" s="38"/>
      <c r="N12" s="38"/>
      <c r="O12" s="38"/>
      <c r="P12" s="38"/>
      <c r="Q12" s="38"/>
    </row>
    <row r="13" spans="1:17" x14ac:dyDescent="0.45">
      <c r="A13" s="38"/>
      <c r="B13" s="38"/>
      <c r="C13" s="38"/>
      <c r="D13" s="38"/>
      <c r="E13" s="38"/>
      <c r="F13" s="38"/>
      <c r="G13" s="38"/>
      <c r="H13" s="38"/>
      <c r="I13" s="38"/>
      <c r="J13" s="38"/>
      <c r="K13" s="38"/>
      <c r="L13" s="38"/>
      <c r="M13" s="38"/>
      <c r="N13" s="38"/>
      <c r="O13" s="38"/>
      <c r="P13" s="38"/>
      <c r="Q13" s="38"/>
    </row>
    <row r="14" spans="1:17" x14ac:dyDescent="0.45">
      <c r="A14" s="38"/>
      <c r="B14" s="38"/>
      <c r="C14" s="38"/>
      <c r="D14" s="38"/>
      <c r="E14" s="38"/>
      <c r="F14" s="38"/>
      <c r="G14" s="38"/>
      <c r="H14" s="38"/>
      <c r="I14" s="38"/>
      <c r="J14" s="38"/>
      <c r="K14" s="38"/>
      <c r="L14" s="38"/>
      <c r="M14" s="38"/>
      <c r="N14" s="38"/>
      <c r="O14" s="38"/>
      <c r="P14" s="38"/>
      <c r="Q14" s="38"/>
    </row>
    <row r="15" spans="1:17" x14ac:dyDescent="0.45">
      <c r="A15" s="38"/>
      <c r="B15" s="38"/>
      <c r="C15" s="38"/>
      <c r="D15" s="38"/>
      <c r="E15" s="38"/>
      <c r="F15" s="38"/>
      <c r="G15" s="38"/>
      <c r="H15" s="38"/>
      <c r="I15" s="38"/>
      <c r="J15" s="38"/>
      <c r="K15" s="38"/>
      <c r="L15" s="38"/>
      <c r="M15" s="38"/>
      <c r="N15" s="38"/>
      <c r="O15" s="38"/>
      <c r="P15" s="38"/>
      <c r="Q15" s="38"/>
    </row>
    <row r="16" spans="1:17" x14ac:dyDescent="0.45">
      <c r="A16" s="38"/>
      <c r="B16" s="38"/>
      <c r="C16" s="38"/>
      <c r="D16" s="38"/>
      <c r="E16" s="38"/>
      <c r="F16" s="38"/>
      <c r="G16" s="38"/>
      <c r="H16" s="38"/>
      <c r="I16" s="38"/>
      <c r="J16" s="38"/>
      <c r="K16" s="38"/>
      <c r="L16" s="38"/>
      <c r="M16" s="38"/>
      <c r="N16" s="38"/>
      <c r="O16" s="38"/>
      <c r="P16" s="38"/>
      <c r="Q16" s="38"/>
    </row>
    <row r="17" spans="1:17" x14ac:dyDescent="0.45">
      <c r="A17" s="38"/>
      <c r="B17" s="38"/>
      <c r="C17" s="38"/>
      <c r="D17" s="38"/>
      <c r="E17" s="38"/>
      <c r="F17" s="38"/>
      <c r="G17" s="38"/>
      <c r="H17" s="38"/>
      <c r="I17" s="38"/>
      <c r="J17" s="38"/>
      <c r="K17" s="38"/>
      <c r="L17" s="38"/>
      <c r="M17" s="38"/>
      <c r="N17" s="38"/>
      <c r="O17" s="38"/>
      <c r="P17" s="38"/>
      <c r="Q17" s="38"/>
    </row>
    <row r="18" spans="1:17" x14ac:dyDescent="0.45">
      <c r="A18" s="38"/>
      <c r="B18" s="38"/>
      <c r="C18" s="38"/>
      <c r="D18" s="38"/>
      <c r="E18" s="38"/>
      <c r="F18" s="38"/>
      <c r="G18" s="38"/>
      <c r="H18" s="38"/>
      <c r="I18" s="38"/>
      <c r="J18" s="38"/>
      <c r="K18" s="38"/>
      <c r="L18" s="38"/>
      <c r="M18" s="38"/>
      <c r="N18" s="38"/>
      <c r="O18" s="38"/>
      <c r="P18" s="38"/>
      <c r="Q18" s="38"/>
    </row>
    <row r="19" spans="1:17" x14ac:dyDescent="0.45">
      <c r="A19" s="38"/>
      <c r="B19" s="38"/>
      <c r="C19" s="38"/>
      <c r="D19" s="38"/>
      <c r="E19" s="38"/>
      <c r="F19" s="38"/>
      <c r="G19" s="38"/>
      <c r="H19" s="38"/>
      <c r="I19" s="38"/>
      <c r="J19" s="38"/>
      <c r="K19" s="38"/>
      <c r="L19" s="38"/>
      <c r="M19" s="38"/>
      <c r="N19" s="38"/>
      <c r="O19" s="38"/>
      <c r="P19" s="38"/>
      <c r="Q19" s="38"/>
    </row>
    <row r="20" spans="1:17" x14ac:dyDescent="0.45">
      <c r="A20" s="38"/>
      <c r="B20" s="38"/>
      <c r="C20" s="38"/>
      <c r="D20" s="38"/>
      <c r="E20" s="38"/>
      <c r="F20" s="38"/>
      <c r="G20" s="38"/>
      <c r="H20" s="38"/>
      <c r="I20" s="38"/>
      <c r="J20" s="38"/>
      <c r="K20" s="38"/>
      <c r="L20" s="38"/>
      <c r="M20" s="38"/>
      <c r="N20" s="38"/>
      <c r="O20" s="38"/>
      <c r="P20" s="38"/>
      <c r="Q20" s="38"/>
    </row>
    <row r="21" spans="1:17" x14ac:dyDescent="0.45">
      <c r="A21" s="38"/>
      <c r="B21" s="38"/>
      <c r="C21" s="38"/>
      <c r="D21" s="38"/>
      <c r="E21" s="38"/>
      <c r="F21" s="38"/>
      <c r="G21" s="38"/>
      <c r="H21" s="38"/>
      <c r="I21" s="38"/>
      <c r="J21" s="38"/>
      <c r="K21" s="38"/>
      <c r="L21" s="38"/>
      <c r="M21" s="38"/>
      <c r="N21" s="38"/>
      <c r="O21" s="38"/>
      <c r="P21" s="38"/>
      <c r="Q21" s="38"/>
    </row>
    <row r="22" spans="1:17" x14ac:dyDescent="0.45">
      <c r="A22" s="38"/>
      <c r="B22" s="38"/>
      <c r="C22" s="38"/>
      <c r="D22" s="38"/>
      <c r="E22" s="38"/>
      <c r="F22" s="38"/>
      <c r="G22" s="38"/>
      <c r="H22" s="38"/>
      <c r="I22" s="38"/>
      <c r="J22" s="38"/>
      <c r="K22" s="38"/>
      <c r="L22" s="38"/>
      <c r="M22" s="38"/>
      <c r="N22" s="38"/>
      <c r="O22" s="38"/>
      <c r="P22" s="38"/>
      <c r="Q22" s="38"/>
    </row>
    <row r="23" spans="1:17" x14ac:dyDescent="0.45">
      <c r="A23" s="38"/>
      <c r="B23" s="38"/>
      <c r="C23" s="38"/>
      <c r="D23" s="38"/>
      <c r="E23" s="38"/>
      <c r="F23" s="38"/>
      <c r="G23" s="38"/>
      <c r="H23" s="38"/>
      <c r="I23" s="38"/>
      <c r="J23" s="38"/>
      <c r="K23" s="38"/>
      <c r="L23" s="38"/>
      <c r="M23" s="38"/>
      <c r="N23" s="38"/>
      <c r="O23" s="38"/>
      <c r="P23" s="38"/>
      <c r="Q23" s="38"/>
    </row>
    <row r="24" spans="1:17" ht="28.5" x14ac:dyDescent="0.85">
      <c r="A24" s="77" t="s">
        <v>160</v>
      </c>
      <c r="B24" s="38"/>
      <c r="C24" s="38"/>
      <c r="D24" s="38"/>
      <c r="E24" s="38"/>
      <c r="F24" s="38"/>
      <c r="G24" s="38"/>
      <c r="H24" s="38"/>
      <c r="I24" s="38"/>
      <c r="J24" s="38"/>
      <c r="K24" s="38"/>
      <c r="L24" s="38"/>
      <c r="M24" s="38"/>
      <c r="N24" s="38"/>
      <c r="O24" s="38"/>
      <c r="P24" s="38"/>
      <c r="Q24" s="38"/>
    </row>
    <row r="25" spans="1:17" x14ac:dyDescent="0.45">
      <c r="A25" s="38"/>
      <c r="B25" s="38"/>
      <c r="C25" s="38"/>
      <c r="D25" s="38"/>
      <c r="E25" s="38"/>
      <c r="F25" s="38"/>
      <c r="G25" s="38"/>
      <c r="H25" s="38"/>
      <c r="I25" s="38"/>
      <c r="J25" s="38"/>
      <c r="K25" s="38"/>
      <c r="L25" s="38"/>
      <c r="M25" s="38"/>
      <c r="N25" s="38"/>
      <c r="O25" s="38"/>
      <c r="P25" s="38"/>
      <c r="Q25" s="38"/>
    </row>
    <row r="26" spans="1:17" x14ac:dyDescent="0.45">
      <c r="A26" s="38" t="s">
        <v>159</v>
      </c>
      <c r="B26" s="38"/>
      <c r="C26" s="38"/>
      <c r="D26" s="38"/>
      <c r="E26" s="38"/>
      <c r="F26" s="38"/>
      <c r="G26" s="38"/>
      <c r="H26" s="38"/>
      <c r="I26" s="38"/>
      <c r="J26" s="38"/>
      <c r="K26" s="38"/>
      <c r="L26" s="38"/>
      <c r="M26" s="38"/>
      <c r="N26" s="38"/>
      <c r="O26" s="38"/>
      <c r="P26" s="38"/>
      <c r="Q26" s="38"/>
    </row>
    <row r="27" spans="1:17" x14ac:dyDescent="0.45">
      <c r="A27" s="38"/>
      <c r="B27" s="38"/>
      <c r="C27" s="38"/>
      <c r="D27" s="38"/>
      <c r="E27" s="38"/>
      <c r="F27" s="38"/>
      <c r="G27" s="38"/>
      <c r="H27" s="38"/>
      <c r="I27" s="38"/>
      <c r="J27" s="38"/>
      <c r="K27" s="38"/>
      <c r="L27" s="38"/>
      <c r="M27" s="38"/>
      <c r="N27" s="38"/>
      <c r="O27" s="38"/>
      <c r="P27" s="38"/>
      <c r="Q27" s="38"/>
    </row>
    <row r="28" spans="1:17" x14ac:dyDescent="0.45">
      <c r="A28" s="38"/>
      <c r="B28" s="38"/>
      <c r="C28" s="38"/>
      <c r="D28" s="38"/>
      <c r="E28" s="38"/>
      <c r="F28" s="38"/>
      <c r="G28" s="38"/>
      <c r="H28" s="38"/>
      <c r="I28" s="38"/>
      <c r="J28" s="38"/>
      <c r="K28" s="38"/>
      <c r="L28" s="38"/>
      <c r="M28" s="38"/>
      <c r="N28" s="38"/>
      <c r="O28" s="38"/>
      <c r="P28" s="38"/>
      <c r="Q28" s="38"/>
    </row>
    <row r="29" spans="1:17" x14ac:dyDescent="0.45">
      <c r="A29" s="38"/>
      <c r="B29" s="38"/>
      <c r="C29" s="38"/>
      <c r="D29" s="38"/>
      <c r="E29" s="38"/>
      <c r="F29" s="38"/>
      <c r="G29" s="38"/>
      <c r="H29" s="38"/>
      <c r="I29" s="38"/>
      <c r="J29" s="38"/>
      <c r="K29" s="38"/>
      <c r="L29" s="38"/>
      <c r="M29" s="38"/>
      <c r="N29" s="38"/>
      <c r="O29" s="38"/>
      <c r="P29" s="38"/>
      <c r="Q29" s="38"/>
    </row>
    <row r="30" spans="1:17" x14ac:dyDescent="0.45">
      <c r="A30" s="38"/>
      <c r="B30" s="38"/>
      <c r="C30" s="38"/>
      <c r="D30" s="38"/>
      <c r="E30" s="38"/>
      <c r="F30" s="38"/>
      <c r="G30" s="38"/>
      <c r="H30" s="38"/>
      <c r="I30" s="38"/>
      <c r="J30" s="38"/>
      <c r="K30" s="38"/>
      <c r="L30" s="38"/>
      <c r="M30" s="38"/>
      <c r="N30" s="38"/>
      <c r="O30" s="38"/>
      <c r="P30" s="38"/>
      <c r="Q30" s="38"/>
    </row>
    <row r="31" spans="1:17" x14ac:dyDescent="0.45">
      <c r="A31" s="38"/>
      <c r="B31" s="38"/>
      <c r="C31" s="38"/>
      <c r="D31" s="38"/>
      <c r="E31" s="38"/>
      <c r="F31" s="38"/>
      <c r="G31" s="38"/>
      <c r="H31" s="38"/>
      <c r="I31" s="38"/>
      <c r="J31" s="38"/>
      <c r="K31" s="38"/>
      <c r="L31" s="38"/>
      <c r="M31" s="38"/>
      <c r="N31" s="38"/>
      <c r="O31" s="38"/>
      <c r="P31" s="38"/>
      <c r="Q31" s="38"/>
    </row>
    <row r="32" spans="1:17" x14ac:dyDescent="0.45">
      <c r="A32" s="38"/>
      <c r="B32" s="38"/>
      <c r="C32" s="38"/>
      <c r="D32" s="38"/>
      <c r="E32" s="38"/>
      <c r="F32" s="38"/>
      <c r="G32" s="38"/>
      <c r="H32" s="38"/>
      <c r="I32" s="38"/>
      <c r="J32" s="38"/>
      <c r="K32" s="38"/>
      <c r="L32" s="38"/>
      <c r="M32" s="38"/>
      <c r="N32" s="38"/>
      <c r="O32" s="38"/>
      <c r="P32" s="38"/>
      <c r="Q32" s="38"/>
    </row>
    <row r="33" spans="1:17" x14ac:dyDescent="0.45">
      <c r="A33" s="38"/>
      <c r="B33" s="38"/>
      <c r="C33" s="38"/>
      <c r="D33" s="38"/>
      <c r="E33" s="38"/>
      <c r="F33" s="38"/>
      <c r="G33" s="38"/>
      <c r="H33" s="38"/>
      <c r="I33" s="38"/>
      <c r="J33" s="38"/>
      <c r="K33" s="38"/>
      <c r="L33" s="38"/>
      <c r="M33" s="38"/>
      <c r="N33" s="38"/>
      <c r="O33" s="38"/>
      <c r="P33" s="38"/>
      <c r="Q33" s="38"/>
    </row>
    <row r="34" spans="1:17" x14ac:dyDescent="0.45">
      <c r="A34" s="38"/>
      <c r="B34" s="38"/>
      <c r="C34" s="38"/>
      <c r="D34" s="38"/>
      <c r="E34" s="38"/>
      <c r="F34" s="38"/>
      <c r="G34" s="38"/>
      <c r="H34" s="38"/>
      <c r="I34" s="38"/>
      <c r="J34" s="38"/>
      <c r="K34" s="38"/>
      <c r="L34" s="38"/>
      <c r="M34" s="38"/>
      <c r="N34" s="38"/>
      <c r="O34" s="38"/>
      <c r="P34" s="38"/>
      <c r="Q34" s="38"/>
    </row>
    <row r="35" spans="1:17" x14ac:dyDescent="0.45">
      <c r="A35" s="38"/>
      <c r="B35" s="38"/>
      <c r="C35" s="38"/>
      <c r="D35" s="38"/>
      <c r="E35" s="38"/>
      <c r="F35" s="38"/>
      <c r="G35" s="38"/>
      <c r="H35" s="38"/>
      <c r="I35" s="38"/>
      <c r="J35" s="38"/>
      <c r="K35" s="38"/>
      <c r="L35" s="38"/>
      <c r="M35" s="38"/>
      <c r="N35" s="38"/>
      <c r="O35" s="38"/>
      <c r="P35" s="38"/>
      <c r="Q35" s="38"/>
    </row>
    <row r="36" spans="1:17" x14ac:dyDescent="0.45">
      <c r="A36" s="38"/>
      <c r="B36" s="38"/>
      <c r="C36" s="38"/>
      <c r="D36" s="38"/>
      <c r="E36" s="38"/>
      <c r="F36" s="38"/>
      <c r="G36" s="38"/>
      <c r="H36" s="38"/>
      <c r="I36" s="38"/>
      <c r="J36" s="38"/>
      <c r="K36" s="38"/>
      <c r="L36" s="38"/>
      <c r="M36" s="38"/>
      <c r="N36" s="38"/>
      <c r="O36" s="38"/>
      <c r="P36" s="38"/>
      <c r="Q36" s="38"/>
    </row>
    <row r="37" spans="1:17" x14ac:dyDescent="0.45">
      <c r="A37" s="38"/>
      <c r="B37" s="38"/>
      <c r="C37" s="38"/>
      <c r="D37" s="38"/>
      <c r="E37" s="38"/>
      <c r="F37" s="38"/>
      <c r="G37" s="38"/>
      <c r="H37" s="38"/>
      <c r="I37" s="38"/>
      <c r="J37" s="38"/>
      <c r="K37" s="38"/>
      <c r="L37" s="38"/>
      <c r="M37" s="38"/>
      <c r="N37" s="38"/>
      <c r="O37" s="38"/>
      <c r="P37" s="38"/>
      <c r="Q37" s="38"/>
    </row>
    <row r="38" spans="1:17" x14ac:dyDescent="0.45">
      <c r="A38" s="38"/>
      <c r="B38" s="38"/>
      <c r="C38" s="38"/>
      <c r="D38" s="38"/>
      <c r="E38" s="38"/>
      <c r="F38" s="38"/>
      <c r="G38" s="38"/>
      <c r="H38" s="38"/>
      <c r="I38" s="38"/>
      <c r="J38" s="38"/>
      <c r="K38" s="38"/>
      <c r="L38" s="38"/>
      <c r="M38" s="38"/>
      <c r="N38" s="38"/>
      <c r="O38" s="38"/>
      <c r="P38" s="38"/>
      <c r="Q38" s="38"/>
    </row>
    <row r="39" spans="1:17" x14ac:dyDescent="0.45">
      <c r="A39" s="38"/>
      <c r="B39" s="38"/>
      <c r="C39" s="38"/>
      <c r="D39" s="38"/>
      <c r="E39" s="38"/>
      <c r="F39" s="38"/>
      <c r="G39" s="38"/>
      <c r="H39" s="38"/>
      <c r="I39" s="38"/>
      <c r="J39" s="38"/>
      <c r="K39" s="38"/>
      <c r="L39" s="38"/>
      <c r="M39" s="38"/>
      <c r="N39" s="38"/>
      <c r="O39" s="38"/>
      <c r="P39" s="38"/>
      <c r="Q39" s="38"/>
    </row>
    <row r="40" spans="1:17" x14ac:dyDescent="0.45">
      <c r="A40" s="38"/>
      <c r="B40" s="38"/>
      <c r="C40" s="38"/>
      <c r="D40" s="38"/>
      <c r="E40" s="38"/>
      <c r="F40" s="38"/>
      <c r="G40" s="38"/>
      <c r="H40" s="38"/>
      <c r="I40" s="38"/>
      <c r="J40" s="38"/>
      <c r="K40" s="38"/>
      <c r="L40" s="38"/>
      <c r="M40" s="38"/>
      <c r="N40" s="38"/>
      <c r="O40" s="38"/>
      <c r="P40" s="38"/>
      <c r="Q40" s="38"/>
    </row>
    <row r="41" spans="1:17" x14ac:dyDescent="0.45">
      <c r="A41" s="38"/>
      <c r="B41" s="38"/>
      <c r="C41" s="38"/>
      <c r="D41" s="38"/>
      <c r="E41" s="38"/>
      <c r="F41" s="38"/>
      <c r="G41" s="38"/>
      <c r="H41" s="38"/>
      <c r="I41" s="38"/>
      <c r="J41" s="38"/>
      <c r="K41" s="38"/>
      <c r="L41" s="38"/>
      <c r="M41" s="38"/>
      <c r="N41" s="38"/>
      <c r="O41" s="38"/>
      <c r="P41" s="38"/>
      <c r="Q41" s="38"/>
    </row>
    <row r="42" spans="1:17" x14ac:dyDescent="0.45">
      <c r="A42" s="38"/>
      <c r="B42" s="38"/>
      <c r="C42" s="38"/>
      <c r="D42" s="38"/>
      <c r="E42" s="38"/>
      <c r="F42" s="38"/>
      <c r="G42" s="38"/>
      <c r="H42" s="38"/>
      <c r="I42" s="38"/>
      <c r="J42" s="38"/>
      <c r="K42" s="38"/>
      <c r="L42" s="38"/>
      <c r="M42" s="38"/>
      <c r="N42" s="38"/>
      <c r="O42" s="38"/>
      <c r="P42" s="38"/>
      <c r="Q42" s="38"/>
    </row>
    <row r="43" spans="1:17" x14ac:dyDescent="0.45">
      <c r="A43" s="38"/>
      <c r="B43" s="38"/>
      <c r="C43" s="38"/>
      <c r="D43" s="38"/>
      <c r="E43" s="38"/>
      <c r="F43" s="38"/>
      <c r="G43" s="38"/>
      <c r="H43" s="38"/>
      <c r="I43" s="38"/>
      <c r="J43" s="38"/>
      <c r="K43" s="38"/>
      <c r="L43" s="38"/>
      <c r="M43" s="38"/>
      <c r="N43" s="38"/>
      <c r="O43" s="38"/>
      <c r="P43" s="38"/>
      <c r="Q43" s="38"/>
    </row>
    <row r="44" spans="1:17" x14ac:dyDescent="0.45">
      <c r="A44" s="38"/>
      <c r="B44" s="38"/>
      <c r="C44" s="38"/>
      <c r="D44" s="38"/>
      <c r="E44" s="38"/>
      <c r="F44" s="38"/>
      <c r="G44" s="38"/>
      <c r="H44" s="38"/>
      <c r="I44" s="38"/>
      <c r="J44" s="38"/>
      <c r="K44" s="38"/>
      <c r="L44" s="38"/>
      <c r="M44" s="38"/>
      <c r="N44" s="38"/>
      <c r="O44" s="38"/>
      <c r="P44" s="38"/>
      <c r="Q44" s="38"/>
    </row>
    <row r="45" spans="1:17" x14ac:dyDescent="0.45">
      <c r="A45" s="38"/>
      <c r="B45" s="38"/>
      <c r="C45" s="38"/>
      <c r="D45" s="38"/>
      <c r="E45" s="38"/>
      <c r="F45" s="38"/>
      <c r="G45" s="38"/>
      <c r="H45" s="38"/>
      <c r="I45" s="38"/>
      <c r="J45" s="38"/>
      <c r="K45" s="38"/>
      <c r="L45" s="38"/>
      <c r="M45" s="38"/>
      <c r="N45" s="38"/>
      <c r="O45" s="38"/>
      <c r="P45" s="38"/>
      <c r="Q45" s="38"/>
    </row>
    <row r="46" spans="1:17" x14ac:dyDescent="0.45">
      <c r="A46" s="38"/>
      <c r="B46" s="38"/>
      <c r="C46" s="38"/>
      <c r="D46" s="38"/>
      <c r="E46" s="38"/>
      <c r="F46" s="38"/>
      <c r="G46" s="38"/>
      <c r="H46" s="38"/>
      <c r="I46" s="38"/>
      <c r="J46" s="38"/>
      <c r="K46" s="38"/>
      <c r="L46" s="38"/>
      <c r="M46" s="38"/>
      <c r="N46" s="38"/>
      <c r="O46" s="38"/>
      <c r="P46" s="38"/>
      <c r="Q46" s="38"/>
    </row>
    <row r="47" spans="1:17" x14ac:dyDescent="0.45">
      <c r="A47" s="38"/>
      <c r="B47" s="38"/>
      <c r="C47" s="38"/>
      <c r="D47" s="38"/>
      <c r="E47" s="38"/>
      <c r="F47" s="38"/>
      <c r="G47" s="38"/>
      <c r="H47" s="38"/>
      <c r="I47" s="38"/>
      <c r="J47" s="38"/>
      <c r="K47" s="38"/>
      <c r="L47" s="38"/>
      <c r="M47" s="38"/>
      <c r="N47" s="38"/>
      <c r="O47" s="38"/>
      <c r="P47" s="38"/>
      <c r="Q47" s="38"/>
    </row>
    <row r="48" spans="1:17" x14ac:dyDescent="0.45">
      <c r="A48" s="38"/>
      <c r="B48" s="38"/>
      <c r="C48" s="38"/>
      <c r="D48" s="38"/>
      <c r="E48" s="38"/>
      <c r="F48" s="38"/>
      <c r="G48" s="38"/>
      <c r="H48" s="38"/>
      <c r="I48" s="38"/>
      <c r="J48" s="38"/>
      <c r="K48" s="38"/>
      <c r="L48" s="38"/>
      <c r="M48" s="38"/>
      <c r="N48" s="38"/>
      <c r="O48" s="38"/>
      <c r="P48" s="38"/>
      <c r="Q48" s="38"/>
    </row>
    <row r="49" spans="1:17" x14ac:dyDescent="0.45">
      <c r="A49" s="38"/>
      <c r="B49" s="38"/>
      <c r="C49" s="38"/>
      <c r="D49" s="38"/>
      <c r="E49" s="38"/>
      <c r="F49" s="38"/>
      <c r="G49" s="38"/>
      <c r="H49" s="38"/>
      <c r="I49" s="38"/>
      <c r="J49" s="38"/>
      <c r="K49" s="38"/>
      <c r="L49" s="38"/>
      <c r="M49" s="38"/>
      <c r="N49" s="38"/>
      <c r="O49" s="38"/>
      <c r="P49" s="38"/>
      <c r="Q49" s="38"/>
    </row>
    <row r="50" spans="1:17" x14ac:dyDescent="0.45">
      <c r="A50" s="38"/>
      <c r="B50" s="38"/>
      <c r="C50" s="38"/>
      <c r="D50" s="38"/>
      <c r="E50" s="38"/>
      <c r="F50" s="38"/>
      <c r="G50" s="38"/>
      <c r="H50" s="38"/>
      <c r="I50" s="38"/>
      <c r="J50" s="38"/>
      <c r="K50" s="38"/>
      <c r="L50" s="38"/>
      <c r="M50" s="38"/>
      <c r="N50" s="38"/>
      <c r="O50" s="38"/>
      <c r="P50" s="38"/>
      <c r="Q50" s="38"/>
    </row>
    <row r="51" spans="1:17" x14ac:dyDescent="0.45">
      <c r="A51" s="38"/>
      <c r="B51" s="38"/>
      <c r="C51" s="38"/>
      <c r="D51" s="38"/>
      <c r="E51" s="38"/>
      <c r="F51" s="38"/>
      <c r="G51" s="38"/>
      <c r="H51" s="38"/>
      <c r="I51" s="38"/>
      <c r="J51" s="38"/>
      <c r="K51" s="38"/>
      <c r="L51" s="38"/>
      <c r="M51" s="38"/>
      <c r="N51" s="38"/>
      <c r="O51" s="38"/>
      <c r="P51" s="38"/>
      <c r="Q51" s="38"/>
    </row>
    <row r="52" spans="1:17" x14ac:dyDescent="0.45">
      <c r="A52" s="38"/>
      <c r="B52" s="38"/>
      <c r="C52" s="38"/>
      <c r="D52" s="38"/>
      <c r="E52" s="38"/>
      <c r="F52" s="38"/>
      <c r="G52" s="38"/>
      <c r="H52" s="38"/>
      <c r="I52" s="38"/>
      <c r="J52" s="38"/>
      <c r="K52" s="38"/>
      <c r="L52" s="38"/>
      <c r="M52" s="38"/>
      <c r="N52" s="38"/>
      <c r="O52" s="38"/>
      <c r="P52" s="38"/>
      <c r="Q52" s="38"/>
    </row>
    <row r="53" spans="1:17" x14ac:dyDescent="0.45">
      <c r="A53" s="38"/>
      <c r="B53" s="38"/>
      <c r="C53" s="38"/>
      <c r="D53" s="38"/>
      <c r="E53" s="38"/>
      <c r="F53" s="38"/>
      <c r="G53" s="38"/>
      <c r="H53" s="38"/>
      <c r="I53" s="38"/>
      <c r="J53" s="38"/>
      <c r="K53" s="38"/>
      <c r="L53" s="38"/>
      <c r="M53" s="38"/>
      <c r="N53" s="38"/>
      <c r="O53" s="38"/>
      <c r="P53" s="38"/>
      <c r="Q53" s="38"/>
    </row>
    <row r="54" spans="1:17" x14ac:dyDescent="0.45">
      <c r="A54" s="38"/>
      <c r="B54" s="38"/>
      <c r="C54" s="38"/>
      <c r="D54" s="38"/>
      <c r="E54" s="38"/>
      <c r="F54" s="38"/>
      <c r="G54" s="38"/>
      <c r="H54" s="38"/>
      <c r="I54" s="38"/>
      <c r="J54" s="38"/>
      <c r="K54" s="38"/>
      <c r="L54" s="38"/>
      <c r="M54" s="38"/>
      <c r="N54" s="38"/>
      <c r="O54" s="38"/>
      <c r="P54" s="38"/>
      <c r="Q54" s="38"/>
    </row>
    <row r="55" spans="1:17" x14ac:dyDescent="0.45">
      <c r="A55" s="38"/>
      <c r="B55" s="38"/>
      <c r="C55" s="38"/>
      <c r="D55" s="38"/>
      <c r="E55" s="38"/>
      <c r="F55" s="38"/>
      <c r="G55" s="38"/>
      <c r="H55" s="38"/>
      <c r="I55" s="38"/>
      <c r="J55" s="38"/>
      <c r="K55" s="38"/>
      <c r="L55" s="38"/>
      <c r="M55" s="38"/>
      <c r="N55" s="38"/>
      <c r="O55" s="38"/>
      <c r="P55" s="38"/>
      <c r="Q55" s="38"/>
    </row>
  </sheetData>
  <hyperlinks>
    <hyperlink ref="A24" location="'Budgetary Resources Calculator'!A1" display="Get Started!" xr:uid="{667658E2-525A-48F2-B70D-D78A38DC7EB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705"/>
  <sheetViews>
    <sheetView showGridLines="0" tabSelected="1" zoomScale="80" zoomScaleNormal="80" workbookViewId="0">
      <pane ySplit="6" topLeftCell="A7" activePane="bottomLeft" state="frozen"/>
      <selection pane="bottomLeft" activeCell="C6" sqref="C6"/>
    </sheetView>
  </sheetViews>
  <sheetFormatPr defaultColWidth="8.53125" defaultRowHeight="13.9" x14ac:dyDescent="0.4"/>
  <cols>
    <col min="1" max="1" width="3.53125" style="1" customWidth="1"/>
    <col min="2" max="2" width="6.53125" style="2" customWidth="1"/>
    <col min="3" max="3" width="63.796875" style="2" customWidth="1"/>
    <col min="4" max="4" width="13.1328125" style="2" customWidth="1"/>
    <col min="5" max="9" width="9.46484375" style="2" customWidth="1"/>
    <col min="10" max="11" width="9.33203125" style="2" customWidth="1"/>
    <col min="12" max="12" width="6.53125" style="2" customWidth="1"/>
    <col min="13" max="13" width="19.53125" style="2" customWidth="1"/>
    <col min="14" max="14" width="5.46484375" style="2" customWidth="1"/>
    <col min="15" max="16" width="8.53125" style="1"/>
    <col min="17" max="17" width="14.53125" style="1" bestFit="1" customWidth="1"/>
    <col min="18" max="18" width="8.53125" style="1"/>
    <col min="19" max="19" width="14.53125" style="1" bestFit="1" customWidth="1"/>
    <col min="20" max="55" width="8.53125" style="1"/>
    <col min="56" max="16384" width="8.53125" style="2"/>
  </cols>
  <sheetData>
    <row r="1" spans="2:24" s="1" customFormat="1" ht="11.45" customHeight="1" x14ac:dyDescent="0.4"/>
    <row r="2" spans="2:24" ht="12" customHeight="1" x14ac:dyDescent="0.4">
      <c r="B2" s="39" t="s">
        <v>159</v>
      </c>
      <c r="C2" s="39"/>
      <c r="D2" s="39"/>
      <c r="E2" s="39"/>
      <c r="F2" s="40"/>
      <c r="G2" s="40"/>
      <c r="H2" s="40"/>
      <c r="I2" s="40"/>
      <c r="J2" s="39"/>
      <c r="K2" s="39"/>
      <c r="L2" s="39"/>
      <c r="M2" s="39"/>
      <c r="N2" s="39"/>
    </row>
    <row r="3" spans="2:24" ht="28.15" x14ac:dyDescent="0.8">
      <c r="B3" s="39"/>
      <c r="C3" s="48" t="s">
        <v>152</v>
      </c>
      <c r="D3" s="39"/>
      <c r="E3" s="39"/>
      <c r="F3" s="39"/>
      <c r="G3" s="39"/>
      <c r="H3" s="39"/>
      <c r="I3" s="43"/>
      <c r="J3" s="44"/>
      <c r="K3" s="43"/>
      <c r="L3" s="45" t="s">
        <v>142</v>
      </c>
      <c r="M3" s="46" t="str">
        <f>ROUND(SUM(G91:K91)/1000,1)&amp;" billion"</f>
        <v>15.3 billion</v>
      </c>
      <c r="N3" s="39"/>
      <c r="T3" s="3"/>
      <c r="U3" s="3"/>
      <c r="V3" s="3"/>
      <c r="W3" s="3" t="s">
        <v>0</v>
      </c>
      <c r="X3" s="3"/>
    </row>
    <row r="4" spans="2:24" ht="28.15" x14ac:dyDescent="0.8">
      <c r="B4" s="39"/>
      <c r="C4" s="48" t="s">
        <v>153</v>
      </c>
      <c r="D4" s="39"/>
      <c r="E4" s="39"/>
      <c r="F4" s="39"/>
      <c r="G4" s="39"/>
      <c r="H4" s="39"/>
      <c r="I4" s="43"/>
      <c r="J4" s="44"/>
      <c r="K4" s="43"/>
      <c r="L4" s="45" t="s">
        <v>143</v>
      </c>
      <c r="M4" s="47" t="str">
        <f>ROUND(K96,1)&amp;"% GNI*"</f>
        <v>1.7% GNI*</v>
      </c>
      <c r="N4" s="39"/>
      <c r="T4" s="3" t="s">
        <v>1</v>
      </c>
      <c r="U4" s="3"/>
      <c r="V4" s="3"/>
      <c r="W4" s="4">
        <f>SUM(F87:I87)</f>
        <v>21832.014374999999</v>
      </c>
      <c r="X4" s="3"/>
    </row>
    <row r="5" spans="2:24" ht="28.15" x14ac:dyDescent="0.8">
      <c r="B5" s="39"/>
      <c r="C5" s="48" t="s">
        <v>154</v>
      </c>
      <c r="D5" s="39"/>
      <c r="E5" s="39"/>
      <c r="F5" s="39"/>
      <c r="G5" s="39"/>
      <c r="H5" s="39"/>
      <c r="I5" s="43"/>
      <c r="J5" s="43"/>
      <c r="K5" s="43"/>
      <c r="L5" s="43"/>
      <c r="M5" s="43"/>
      <c r="N5" s="39"/>
      <c r="T5" s="3" t="s">
        <v>2</v>
      </c>
      <c r="U5" s="3"/>
      <c r="V5" s="3"/>
      <c r="W5" s="4">
        <f>SUM(F88:I88)</f>
        <v>-14739.387248053394</v>
      </c>
      <c r="X5" s="3"/>
    </row>
    <row r="6" spans="2:24" ht="27.75" x14ac:dyDescent="0.4">
      <c r="B6" s="39"/>
      <c r="C6" s="39"/>
      <c r="D6" s="39">
        <v>2023</v>
      </c>
      <c r="E6" s="39">
        <v>2024</v>
      </c>
      <c r="F6" s="39">
        <v>2025</v>
      </c>
      <c r="G6" s="39">
        <f t="shared" ref="G6" si="0">F6+1</f>
        <v>2026</v>
      </c>
      <c r="H6" s="39">
        <f t="shared" ref="H6" si="1">G6+1</f>
        <v>2027</v>
      </c>
      <c r="I6" s="39">
        <f t="shared" ref="I6" si="2">H6+1</f>
        <v>2028</v>
      </c>
      <c r="J6" s="39">
        <f t="shared" ref="J6" si="3">I6+1</f>
        <v>2029</v>
      </c>
      <c r="K6" s="39">
        <f t="shared" ref="K6" si="4">J6+1</f>
        <v>2030</v>
      </c>
      <c r="L6" s="39"/>
      <c r="M6" s="42" t="s">
        <v>158</v>
      </c>
      <c r="N6" s="39"/>
      <c r="T6" s="3"/>
      <c r="U6" s="3"/>
      <c r="V6" s="3"/>
      <c r="W6" s="3"/>
      <c r="X6" s="3"/>
    </row>
    <row r="7" spans="2:24" x14ac:dyDescent="0.4">
      <c r="B7" s="39"/>
      <c r="C7" s="39"/>
      <c r="D7" s="39"/>
      <c r="E7" s="39"/>
      <c r="F7" s="39"/>
      <c r="G7" s="39"/>
      <c r="H7" s="39"/>
      <c r="I7" s="39"/>
      <c r="J7" s="39"/>
      <c r="K7" s="39"/>
      <c r="L7" s="39"/>
      <c r="M7" s="39"/>
      <c r="N7" s="39"/>
    </row>
    <row r="8" spans="2:24" ht="22.9" x14ac:dyDescent="0.65">
      <c r="B8" s="39"/>
      <c r="C8" s="50" t="s">
        <v>3</v>
      </c>
      <c r="D8" s="39"/>
      <c r="E8" s="39"/>
      <c r="F8" s="39"/>
      <c r="G8" s="39"/>
      <c r="H8" s="39"/>
      <c r="I8" s="39"/>
      <c r="J8" s="39"/>
      <c r="K8" s="39"/>
      <c r="L8" s="39"/>
      <c r="M8" s="39"/>
      <c r="N8" s="39"/>
    </row>
    <row r="9" spans="2:24" x14ac:dyDescent="0.4">
      <c r="B9" s="39"/>
      <c r="C9" s="39"/>
      <c r="D9" s="39"/>
      <c r="E9" s="39"/>
      <c r="F9" s="39"/>
      <c r="G9" s="39"/>
      <c r="H9" s="39"/>
      <c r="I9" s="39"/>
      <c r="J9" s="39"/>
      <c r="K9" s="39"/>
      <c r="L9" s="39"/>
      <c r="M9" s="39"/>
      <c r="N9" s="39"/>
    </row>
    <row r="10" spans="2:24" x14ac:dyDescent="0.4">
      <c r="B10" s="39"/>
      <c r="C10" s="39" t="s">
        <v>127</v>
      </c>
      <c r="D10" s="39"/>
      <c r="E10" s="39"/>
      <c r="F10" s="39"/>
      <c r="G10" s="39"/>
      <c r="H10" s="39"/>
      <c r="I10" s="39"/>
      <c r="J10" s="39"/>
      <c r="K10" s="39"/>
      <c r="L10" s="39"/>
      <c r="M10" s="39"/>
      <c r="N10" s="39"/>
    </row>
    <row r="11" spans="2:24" x14ac:dyDescent="0.4">
      <c r="B11" s="39"/>
      <c r="C11" s="39" t="s">
        <v>129</v>
      </c>
      <c r="D11" s="39"/>
      <c r="E11" s="39"/>
      <c r="F11" s="39"/>
      <c r="G11" s="39"/>
      <c r="H11" s="39"/>
      <c r="I11" s="39"/>
      <c r="J11" s="39"/>
      <c r="K11" s="39"/>
      <c r="L11" s="39"/>
      <c r="M11" s="39"/>
      <c r="N11" s="39"/>
    </row>
    <row r="12" spans="2:24" x14ac:dyDescent="0.4">
      <c r="B12" s="39"/>
      <c r="C12" s="39" t="s">
        <v>128</v>
      </c>
      <c r="D12" s="39"/>
      <c r="E12" s="39"/>
      <c r="F12" s="39"/>
      <c r="G12" s="39"/>
      <c r="H12" s="39"/>
      <c r="I12" s="39"/>
      <c r="J12" s="39"/>
      <c r="K12" s="39"/>
      <c r="L12" s="39"/>
      <c r="M12" s="39"/>
      <c r="N12" s="39"/>
    </row>
    <row r="13" spans="2:24" x14ac:dyDescent="0.4">
      <c r="B13" s="39"/>
      <c r="C13" s="39"/>
      <c r="D13" s="39"/>
      <c r="E13" s="39"/>
      <c r="F13" s="39"/>
      <c r="G13" s="39"/>
      <c r="H13" s="39"/>
      <c r="I13" s="39"/>
      <c r="J13" s="39"/>
      <c r="K13" s="39"/>
      <c r="L13" s="39"/>
      <c r="M13" s="39"/>
      <c r="N13" s="39"/>
    </row>
    <row r="14" spans="2:24" x14ac:dyDescent="0.4">
      <c r="B14" s="39"/>
      <c r="C14" s="39"/>
      <c r="D14" s="39"/>
      <c r="E14" s="39"/>
      <c r="F14" s="39"/>
      <c r="G14" s="39"/>
      <c r="H14" s="39"/>
      <c r="I14" s="39"/>
      <c r="J14" s="39"/>
      <c r="K14" s="39"/>
      <c r="L14" s="39"/>
      <c r="M14" s="39"/>
      <c r="N14" s="39"/>
    </row>
    <row r="15" spans="2:24" x14ac:dyDescent="0.4">
      <c r="B15" s="39"/>
      <c r="C15" s="39"/>
      <c r="D15" s="39"/>
      <c r="E15" s="39"/>
      <c r="F15" s="39"/>
      <c r="G15" s="51"/>
      <c r="H15" s="51"/>
      <c r="I15" s="39"/>
      <c r="J15" s="39"/>
      <c r="K15" s="39"/>
      <c r="L15" s="39"/>
      <c r="M15" s="39"/>
      <c r="N15" s="39"/>
    </row>
    <row r="16" spans="2:24" ht="22.9" x14ac:dyDescent="0.65">
      <c r="B16" s="39"/>
      <c r="C16" s="50" t="s">
        <v>4</v>
      </c>
      <c r="D16" s="39"/>
      <c r="E16" s="39"/>
      <c r="F16" s="39"/>
      <c r="G16" s="39"/>
      <c r="H16" s="39"/>
      <c r="I16" s="39"/>
      <c r="J16" s="39"/>
      <c r="K16" s="39"/>
      <c r="L16" s="39"/>
      <c r="M16" s="39"/>
      <c r="N16" s="39"/>
    </row>
    <row r="17" spans="1:55" x14ac:dyDescent="0.4">
      <c r="B17" s="39"/>
      <c r="C17" s="39"/>
      <c r="D17" s="39"/>
      <c r="E17" s="39"/>
      <c r="F17" s="39"/>
      <c r="G17" s="39"/>
      <c r="H17" s="39"/>
      <c r="I17" s="39"/>
      <c r="J17" s="39"/>
      <c r="K17" s="39"/>
      <c r="L17" s="39"/>
      <c r="M17" s="39"/>
      <c r="N17" s="39"/>
    </row>
    <row r="18" spans="1:55" x14ac:dyDescent="0.4">
      <c r="B18" s="39"/>
      <c r="C18" s="39" t="s">
        <v>116</v>
      </c>
      <c r="D18" s="39"/>
      <c r="E18" s="39"/>
      <c r="F18" s="39"/>
      <c r="G18" s="39"/>
      <c r="H18" s="39"/>
      <c r="I18" s="39"/>
      <c r="J18" s="39"/>
      <c r="K18" s="39"/>
      <c r="L18" s="39"/>
      <c r="M18" s="39"/>
      <c r="N18" s="39"/>
    </row>
    <row r="19" spans="1:55" x14ac:dyDescent="0.4">
      <c r="B19" s="39"/>
      <c r="C19" s="39"/>
      <c r="D19" s="39"/>
      <c r="E19" s="39"/>
      <c r="F19" s="39"/>
      <c r="G19" s="39"/>
      <c r="H19" s="39"/>
      <c r="I19" s="39"/>
      <c r="J19" s="39"/>
      <c r="K19" s="39"/>
      <c r="L19" s="39"/>
      <c r="M19" s="39"/>
      <c r="N19" s="39"/>
    </row>
    <row r="20" spans="1:55" x14ac:dyDescent="0.4">
      <c r="B20" s="39"/>
      <c r="C20" s="39" t="s">
        <v>5</v>
      </c>
      <c r="D20" s="52">
        <f t="shared" ref="D20:K23" si="5">HLOOKUP(D$6,Controls,MATCH($C20,$C$318:$C$374,0)+MATCH($C$18,$C$321:$C$322,0),FALSE)</f>
        <v>4.9636862824416816</v>
      </c>
      <c r="E20" s="52">
        <f t="shared" si="5"/>
        <v>4.9230501132016293</v>
      </c>
      <c r="F20" s="52">
        <f t="shared" si="5"/>
        <v>2.6030546782980739</v>
      </c>
      <c r="G20" s="52">
        <f t="shared" si="5"/>
        <v>2.7731909871639053</v>
      </c>
      <c r="H20" s="52">
        <f t="shared" si="5"/>
        <v>2.4720220684362801</v>
      </c>
      <c r="I20" s="52">
        <f t="shared" si="5"/>
        <v>2.3396819074913924</v>
      </c>
      <c r="J20" s="52">
        <f t="shared" si="5"/>
        <v>2.16</v>
      </c>
      <c r="K20" s="52">
        <f t="shared" si="5"/>
        <v>2.17</v>
      </c>
      <c r="L20" s="39"/>
      <c r="M20" s="39"/>
      <c r="N20" s="39"/>
    </row>
    <row r="21" spans="1:55" x14ac:dyDescent="0.4">
      <c r="B21" s="39"/>
      <c r="C21" s="39" t="s">
        <v>6</v>
      </c>
      <c r="D21" s="52">
        <f t="shared" si="5"/>
        <v>8.9718667011263022</v>
      </c>
      <c r="E21" s="52">
        <f t="shared" si="5"/>
        <v>8.0707416165976724</v>
      </c>
      <c r="F21" s="52">
        <f t="shared" si="5"/>
        <v>5.2707340999338186</v>
      </c>
      <c r="G21" s="52">
        <f t="shared" si="5"/>
        <v>5.3351668951216595</v>
      </c>
      <c r="H21" s="52">
        <f t="shared" si="5"/>
        <v>5.009495820135129</v>
      </c>
      <c r="I21" s="52">
        <f t="shared" si="5"/>
        <v>4.8768919197673739</v>
      </c>
      <c r="J21" s="52">
        <f t="shared" si="5"/>
        <v>4.5266647788426013</v>
      </c>
      <c r="K21" s="52">
        <f t="shared" si="5"/>
        <v>4.5477463592751945</v>
      </c>
      <c r="L21" s="39"/>
      <c r="M21" s="39"/>
      <c r="N21" s="39"/>
    </row>
    <row r="22" spans="1:55" x14ac:dyDescent="0.4">
      <c r="B22" s="39"/>
      <c r="C22" s="39" t="s">
        <v>7</v>
      </c>
      <c r="D22" s="52">
        <f t="shared" si="5"/>
        <v>5.2</v>
      </c>
      <c r="E22" s="52">
        <f t="shared" si="5"/>
        <v>1.672975765464559</v>
      </c>
      <c r="F22" s="52">
        <f t="shared" si="5"/>
        <v>1.9354787199834873</v>
      </c>
      <c r="G22" s="52">
        <f t="shared" si="5"/>
        <v>2.0449030970625208</v>
      </c>
      <c r="H22" s="52">
        <f t="shared" si="5"/>
        <v>2.0176521255235702</v>
      </c>
      <c r="I22" s="52">
        <f t="shared" si="5"/>
        <v>2.0115651756130775</v>
      </c>
      <c r="J22" s="52">
        <f t="shared" si="5"/>
        <v>2.0318549363914502</v>
      </c>
      <c r="K22" s="52">
        <f t="shared" si="5"/>
        <v>2.0170942252842607</v>
      </c>
      <c r="L22" s="39"/>
      <c r="M22" s="39"/>
      <c r="N22" s="39"/>
    </row>
    <row r="23" spans="1:55" x14ac:dyDescent="0.4">
      <c r="B23" s="39"/>
      <c r="C23" s="39" t="s">
        <v>107</v>
      </c>
      <c r="D23" s="52">
        <f t="shared" si="5"/>
        <v>8.4361865637769782</v>
      </c>
      <c r="E23" s="52">
        <f t="shared" si="5"/>
        <v>5.128670764741238</v>
      </c>
      <c r="F23" s="52">
        <f t="shared" si="5"/>
        <v>3.9201013160706828</v>
      </c>
      <c r="G23" s="52">
        <f t="shared" si="5"/>
        <v>4.0403669781283895</v>
      </c>
      <c r="H23" s="52">
        <f t="shared" si="5"/>
        <v>3.9058971495194008</v>
      </c>
      <c r="I23" s="52">
        <f t="shared" si="5"/>
        <v>3.862806568809543</v>
      </c>
      <c r="J23" s="52">
        <f t="shared" si="5"/>
        <v>3.8198281854071885</v>
      </c>
      <c r="K23" s="52">
        <f t="shared" si="5"/>
        <v>3.7028229291566497</v>
      </c>
      <c r="L23" s="39"/>
      <c r="M23" s="39"/>
      <c r="N23" s="39"/>
    </row>
    <row r="24" spans="1:55" x14ac:dyDescent="0.4">
      <c r="B24" s="39"/>
      <c r="C24" s="39"/>
      <c r="D24" s="39"/>
      <c r="E24" s="39"/>
      <c r="F24" s="39"/>
      <c r="G24" s="39"/>
      <c r="H24" s="39"/>
      <c r="I24" s="39"/>
      <c r="J24" s="39"/>
      <c r="K24" s="39"/>
      <c r="L24" s="39"/>
      <c r="M24" s="39"/>
      <c r="N24" s="39"/>
    </row>
    <row r="25" spans="1:55" x14ac:dyDescent="0.4">
      <c r="B25" s="39"/>
      <c r="C25" s="39"/>
      <c r="D25" s="39"/>
      <c r="E25" s="39"/>
      <c r="F25" s="39"/>
      <c r="G25" s="39"/>
      <c r="H25" s="39"/>
      <c r="I25" s="39"/>
      <c r="J25" s="39"/>
      <c r="K25" s="39"/>
      <c r="L25" s="39"/>
      <c r="M25" s="39"/>
      <c r="N25" s="39"/>
    </row>
    <row r="26" spans="1:55" x14ac:dyDescent="0.4">
      <c r="B26" s="39"/>
      <c r="C26" s="39"/>
      <c r="D26" s="39"/>
      <c r="E26" s="39"/>
      <c r="F26" s="39"/>
      <c r="G26" s="39"/>
      <c r="H26" s="39"/>
      <c r="I26" s="39"/>
      <c r="J26" s="39"/>
      <c r="K26" s="39"/>
      <c r="L26" s="39"/>
      <c r="M26" s="39"/>
      <c r="N26" s="39"/>
    </row>
    <row r="27" spans="1:55" s="6" customFormat="1" ht="22.9" x14ac:dyDescent="0.65">
      <c r="A27" s="5"/>
      <c r="B27" s="39"/>
      <c r="C27" s="50" t="s">
        <v>8</v>
      </c>
      <c r="D27" s="39"/>
      <c r="E27" s="39"/>
      <c r="F27" s="39"/>
      <c r="G27" s="39"/>
      <c r="H27" s="39"/>
      <c r="I27" s="39"/>
      <c r="J27" s="39"/>
      <c r="K27" s="39"/>
      <c r="L27" s="39"/>
      <c r="M27" s="39"/>
      <c r="N27" s="39"/>
      <c r="O27" s="5"/>
      <c r="P27" s="1"/>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55" x14ac:dyDescent="0.4">
      <c r="B28" s="39"/>
      <c r="C28" s="39"/>
      <c r="D28" s="40"/>
      <c r="E28" s="40"/>
      <c r="F28" s="40"/>
      <c r="G28" s="40"/>
      <c r="H28" s="40"/>
      <c r="I28" s="40"/>
      <c r="J28" s="40"/>
      <c r="K28" s="40"/>
      <c r="L28" s="39"/>
      <c r="M28" s="39"/>
      <c r="N28" s="39"/>
    </row>
    <row r="29" spans="1:55" x14ac:dyDescent="0.4">
      <c r="B29" s="39"/>
      <c r="C29" s="39" t="s">
        <v>9</v>
      </c>
      <c r="D29" s="40"/>
      <c r="E29" s="53"/>
      <c r="F29" s="39"/>
      <c r="G29" s="39"/>
      <c r="H29" s="39"/>
      <c r="I29" s="39"/>
      <c r="J29" s="39"/>
      <c r="K29" s="39"/>
      <c r="L29" s="39"/>
      <c r="M29" s="39"/>
      <c r="N29" s="39"/>
    </row>
    <row r="30" spans="1:55" ht="17.649999999999999" x14ac:dyDescent="0.5">
      <c r="B30" s="39"/>
      <c r="C30" s="69" t="s">
        <v>84</v>
      </c>
      <c r="D30" s="69"/>
      <c r="E30" s="69"/>
      <c r="F30" s="40"/>
      <c r="G30" s="40">
        <f>IF($C30="",0,HLOOKUP(G$6,Controls,MATCH($C29,ControlsVariable,0)+MATCH($C30,$C$350:$C$351,0),FALSE))</f>
        <v>0</v>
      </c>
      <c r="H30" s="40">
        <f>IF($C30="",0,HLOOKUP(H$6,Controls,MATCH($C29,ControlsVariable,0)+MATCH($C30,$C$350:$C$351,0),FALSE))</f>
        <v>0</v>
      </c>
      <c r="I30" s="40">
        <f>IF($C30="",0,HLOOKUP(I$6,Controls,MATCH($C29,ControlsVariable,0)+MATCH($C30,$C$350:$C$351,0),FALSE))</f>
        <v>0</v>
      </c>
      <c r="J30" s="40">
        <f>IF($C30="",0,HLOOKUP(J$6,Controls,MATCH($C29,ControlsVariable,0)+MATCH($C30,$C$350:$C$351,0),FALSE))</f>
        <v>0</v>
      </c>
      <c r="K30" s="40">
        <f>IF($C30="",0,HLOOKUP(K$6,Controls,MATCH($C29,ControlsVariable,0)+MATCH($C30,$C$350:$C$351,0),FALSE))</f>
        <v>0</v>
      </c>
      <c r="L30" s="39"/>
      <c r="M30" s="40">
        <f>SUM(G30:K30)</f>
        <v>0</v>
      </c>
      <c r="N30" s="39"/>
    </row>
    <row r="31" spans="1:55" x14ac:dyDescent="0.4">
      <c r="B31" s="39"/>
      <c r="C31" s="58" t="str">
        <f>IF(C30="No, I wish to keep them constant in cash terms, or decrease them","Note, this means that you are going to cut benefits in relative terms. That is, they do not keep pace with general wage changes","")</f>
        <v>Note, this means that you are going to cut benefits in relative terms. That is, they do not keep pace with general wage changes</v>
      </c>
      <c r="D31" s="39"/>
      <c r="E31" s="53"/>
      <c r="F31" s="53"/>
      <c r="G31" s="53"/>
      <c r="H31" s="53"/>
      <c r="I31" s="53"/>
      <c r="J31" s="53"/>
      <c r="K31" s="53"/>
      <c r="L31" s="39"/>
      <c r="M31" s="39"/>
      <c r="N31" s="39"/>
    </row>
    <row r="32" spans="1:55" x14ac:dyDescent="0.4">
      <c r="B32" s="39"/>
      <c r="C32" s="39"/>
      <c r="D32" s="39"/>
      <c r="E32" s="39"/>
      <c r="F32" s="39"/>
      <c r="G32" s="39"/>
      <c r="H32" s="39"/>
      <c r="I32" s="39"/>
      <c r="J32" s="39"/>
      <c r="K32" s="39"/>
      <c r="L32" s="39"/>
      <c r="M32" s="39"/>
      <c r="N32" s="39"/>
    </row>
    <row r="33" spans="2:14" x14ac:dyDescent="0.4">
      <c r="B33" s="39"/>
      <c r="C33" s="39" t="s">
        <v>11</v>
      </c>
      <c r="D33" s="40"/>
      <c r="E33" s="39"/>
      <c r="F33" s="39"/>
      <c r="G33" s="39"/>
      <c r="H33" s="39"/>
      <c r="I33" s="39"/>
      <c r="J33" s="39"/>
      <c r="K33" s="39"/>
      <c r="L33" s="39"/>
      <c r="M33" s="39"/>
      <c r="N33" s="39"/>
    </row>
    <row r="34" spans="2:14" ht="17.649999999999999" x14ac:dyDescent="0.5">
      <c r="B34" s="39"/>
      <c r="C34" s="69" t="s">
        <v>84</v>
      </c>
      <c r="D34" s="69"/>
      <c r="E34" s="69"/>
      <c r="F34" s="40"/>
      <c r="G34" s="40">
        <f>IF($C34="",0,HLOOKUP(G$6,Controls,MATCH($C33,ControlsVariable,0)+MATCH($C34,$C$350:$C$351,0),FALSE))</f>
        <v>0</v>
      </c>
      <c r="H34" s="40">
        <f>IF($C34="",0,HLOOKUP(H$6,Controls,MATCH($C33,ControlsVariable,0)+MATCH($C34,$C$350:$C$351,0),FALSE))</f>
        <v>0</v>
      </c>
      <c r="I34" s="40">
        <f>IF($C34="",0,HLOOKUP(I$6,Controls,MATCH($C33,ControlsVariable,0)+MATCH($C34,$C$350:$C$351,0),FALSE))</f>
        <v>0</v>
      </c>
      <c r="J34" s="40">
        <f>IF($C34="",0,HLOOKUP(J$6,Controls,MATCH($C33,ControlsVariable,0)+MATCH($C34,$C$350:$C$351,0),FALSE))</f>
        <v>0</v>
      </c>
      <c r="K34" s="40">
        <f>IF($C34="",0,HLOOKUP(K$6,Controls,MATCH($C33,ControlsVariable,0)+MATCH($C34,$C$350:$C$351,0),FALSE))</f>
        <v>0</v>
      </c>
      <c r="L34" s="39"/>
      <c r="M34" s="40">
        <f>SUM(G34:K34)</f>
        <v>0</v>
      </c>
      <c r="N34" s="39"/>
    </row>
    <row r="35" spans="2:14" x14ac:dyDescent="0.4">
      <c r="B35" s="39"/>
      <c r="C35" s="58" t="str">
        <f>IF(C34="No, I wish to keep them constant in cash terms, or decrease them","Note, this means that you are going to cut pensions in relative terms. That is, they do not keep pace with general wage changes","")</f>
        <v>Note, this means that you are going to cut pensions in relative terms. That is, they do not keep pace with general wage changes</v>
      </c>
      <c r="D35" s="39"/>
      <c r="E35" s="53"/>
      <c r="F35" s="53"/>
      <c r="G35" s="53"/>
      <c r="H35" s="53"/>
      <c r="I35" s="53"/>
      <c r="J35" s="53"/>
      <c r="K35" s="53"/>
      <c r="L35" s="39"/>
      <c r="M35" s="39"/>
      <c r="N35" s="39"/>
    </row>
    <row r="36" spans="2:14" x14ac:dyDescent="0.4">
      <c r="B36" s="39"/>
      <c r="C36" s="39"/>
      <c r="D36" s="40"/>
      <c r="E36" s="40"/>
      <c r="F36" s="40"/>
      <c r="G36" s="40"/>
      <c r="H36" s="40"/>
      <c r="I36" s="40"/>
      <c r="J36" s="40"/>
      <c r="K36" s="40"/>
      <c r="L36" s="39"/>
      <c r="M36" s="39"/>
      <c r="N36" s="39"/>
    </row>
    <row r="37" spans="2:14" x14ac:dyDescent="0.4">
      <c r="B37" s="39"/>
      <c r="C37" s="39" t="s">
        <v>87</v>
      </c>
      <c r="D37" s="40"/>
      <c r="E37" s="59"/>
      <c r="F37" s="59"/>
      <c r="G37" s="59"/>
      <c r="H37" s="59"/>
      <c r="I37" s="59"/>
      <c r="J37" s="59"/>
      <c r="K37" s="59"/>
      <c r="L37" s="39"/>
      <c r="M37" s="39"/>
      <c r="N37" s="39"/>
    </row>
    <row r="38" spans="2:14" ht="17.649999999999999" x14ac:dyDescent="0.5">
      <c r="B38" s="39"/>
      <c r="C38" s="69" t="s">
        <v>84</v>
      </c>
      <c r="D38" s="69"/>
      <c r="E38" s="69"/>
      <c r="F38" s="40"/>
      <c r="G38" s="40">
        <f>IF($C38="",0,HLOOKUP(G$6,Controls,MATCH($C37,ControlsVariable,0)+MATCH($C38,$C$350:$C$351,0),FALSE))</f>
        <v>1634.4251109710306</v>
      </c>
      <c r="H38" s="40">
        <f>IF($C38="",0,HLOOKUP(H$6,Controls,MATCH($C37,ControlsVariable,0)+MATCH($C38,$C$350:$C$351,0),FALSE))</f>
        <v>425.46526496464611</v>
      </c>
      <c r="I38" s="40">
        <f>IF($C38="",0,HLOOKUP(I$6,Controls,MATCH($C37,ControlsVariable,0)+MATCH($C38,$C$350:$C$351,0),FALSE))</f>
        <v>168.55088352100935</v>
      </c>
      <c r="J38" s="40">
        <f>IF($C38="",0,HLOOKUP(J$6,Controls,MATCH($C37,ControlsVariable,0)+MATCH($C38,$C$350:$C$351,0),FALSE))</f>
        <v>161.52587139016256</v>
      </c>
      <c r="K38" s="40">
        <f>IF($C38="",0,HLOOKUP(K$6,Controls,MATCH($C37,ControlsVariable,0)+MATCH($C38,$C$350:$C$351,0),FALSE))</f>
        <v>219.90150446450767</v>
      </c>
      <c r="L38" s="39"/>
      <c r="M38" s="40">
        <f>SUM(G38:K38)</f>
        <v>2609.8686353113562</v>
      </c>
      <c r="N38" s="39"/>
    </row>
    <row r="39" spans="2:14" x14ac:dyDescent="0.4">
      <c r="B39" s="39"/>
      <c r="C39" s="58" t="str">
        <f>IF(C38="No, I wish to keep them constant in cash terms, or decrease them","Note, this means that you are going to cut pay in relative terms. That is, they do not keep pace with general wage changes (the existing pay deal still applies)","")</f>
        <v>Note, this means that you are going to cut pay in relative terms. That is, they do not keep pace with general wage changes (the existing pay deal still applies)</v>
      </c>
      <c r="D39" s="59"/>
      <c r="E39" s="53"/>
      <c r="F39" s="53"/>
      <c r="G39" s="53"/>
      <c r="H39" s="53"/>
      <c r="I39" s="53"/>
      <c r="J39" s="53"/>
      <c r="K39" s="53"/>
      <c r="L39" s="39"/>
      <c r="M39" s="39"/>
      <c r="N39" s="39"/>
    </row>
    <row r="40" spans="2:14" x14ac:dyDescent="0.4">
      <c r="B40" s="39"/>
      <c r="C40" s="39"/>
      <c r="D40" s="59"/>
      <c r="E40" s="59"/>
      <c r="F40" s="59"/>
      <c r="G40" s="59"/>
      <c r="H40" s="59"/>
      <c r="I40" s="59"/>
      <c r="J40" s="59"/>
      <c r="K40" s="59"/>
      <c r="L40" s="39"/>
      <c r="M40" s="39"/>
      <c r="N40" s="39"/>
    </row>
    <row r="41" spans="2:14" x14ac:dyDescent="0.4">
      <c r="B41" s="39"/>
      <c r="C41" s="39" t="s">
        <v>12</v>
      </c>
      <c r="D41" s="40"/>
      <c r="E41" s="39"/>
      <c r="F41" s="39"/>
      <c r="G41" s="39"/>
      <c r="H41" s="39"/>
      <c r="I41" s="39"/>
      <c r="J41" s="39"/>
      <c r="K41" s="39"/>
      <c r="L41" s="39"/>
      <c r="M41" s="39"/>
      <c r="N41" s="39"/>
    </row>
    <row r="42" spans="2:14" ht="17.649999999999999" x14ac:dyDescent="0.5">
      <c r="B42" s="39"/>
      <c r="C42" s="69" t="s">
        <v>13</v>
      </c>
      <c r="D42" s="69"/>
      <c r="E42" s="69"/>
      <c r="F42" s="40"/>
      <c r="G42" s="40">
        <f>IF($C42="",0,HLOOKUP(G$6,Controls,MATCH($C41,ControlsVariable,0)+MATCH($C42,$C$362:$C$363,0),FALSE))</f>
        <v>0</v>
      </c>
      <c r="H42" s="40">
        <f>IF($C42="",0,HLOOKUP(H$6,Controls,MATCH($C41,ControlsVariable,0)+MATCH($C42,$C$362:$C$363,0),FALSE))</f>
        <v>0</v>
      </c>
      <c r="I42" s="40">
        <f>IF($C42="",0,HLOOKUP(I$6,Controls,MATCH($C41,ControlsVariable,0)+MATCH($C42,$C$362:$C$363,0),FALSE))</f>
        <v>0</v>
      </c>
      <c r="J42" s="40">
        <f>IF($C42="",0,HLOOKUP(J$6,Controls,MATCH($C41,ControlsVariable,0)+MATCH($C42,$C$362:$C$363,0),FALSE))</f>
        <v>0</v>
      </c>
      <c r="K42" s="40">
        <f>IF($C42="",0,HLOOKUP(K$6,Controls,MATCH($C41,ControlsVariable,0)+MATCH($C42,$C$362:$C$363,0),FALSE))</f>
        <v>0</v>
      </c>
      <c r="L42" s="39"/>
      <c r="M42" s="40">
        <f>SUM(G42:K42)</f>
        <v>0</v>
      </c>
      <c r="N42" s="39"/>
    </row>
    <row r="43" spans="2:14" x14ac:dyDescent="0.4">
      <c r="B43" s="39"/>
      <c r="C43" s="58" t="str">
        <f>IF(C42="No, I don't want bands to rise if wages rise","Note, this means you are going to raise taxes in real terms. By not keeping pace with wage changes, people will drift into higher tax bands","")</f>
        <v/>
      </c>
      <c r="D43" s="40"/>
      <c r="E43" s="53"/>
      <c r="F43" s="53"/>
      <c r="G43" s="53"/>
      <c r="H43" s="53"/>
      <c r="I43" s="53"/>
      <c r="J43" s="53"/>
      <c r="K43" s="53"/>
      <c r="L43" s="39"/>
      <c r="M43" s="39"/>
      <c r="N43" s="39"/>
    </row>
    <row r="44" spans="2:14" x14ac:dyDescent="0.4">
      <c r="B44" s="39"/>
      <c r="C44" s="39"/>
      <c r="D44" s="39"/>
      <c r="E44" s="39"/>
      <c r="F44" s="39"/>
      <c r="G44" s="39"/>
      <c r="H44" s="39"/>
      <c r="I44" s="39"/>
      <c r="J44" s="39"/>
      <c r="K44" s="39"/>
      <c r="L44" s="39"/>
      <c r="M44" s="39"/>
      <c r="N44" s="39"/>
    </row>
    <row r="45" spans="2:14" x14ac:dyDescent="0.4">
      <c r="B45" s="39"/>
      <c r="C45" s="39" t="s">
        <v>102</v>
      </c>
      <c r="D45" s="40"/>
      <c r="E45" s="39"/>
      <c r="F45" s="39"/>
      <c r="G45" s="39"/>
      <c r="H45" s="39"/>
      <c r="I45" s="39"/>
      <c r="J45" s="39"/>
      <c r="K45" s="39"/>
      <c r="L45" s="39"/>
      <c r="M45" s="39"/>
      <c r="N45" s="39"/>
    </row>
    <row r="46" spans="2:14" ht="17.649999999999999" x14ac:dyDescent="0.5">
      <c r="B46" s="39"/>
      <c r="C46" s="69" t="s">
        <v>103</v>
      </c>
      <c r="D46" s="69"/>
      <c r="E46" s="69"/>
      <c r="F46" s="40"/>
      <c r="G46" s="40">
        <f>IF($C46="",0,HLOOKUP(G$6,Controls,MATCH($C45,ControlsVariable,0)+MATCH($C46,$C$366:$C$367,0),FALSE))</f>
        <v>160</v>
      </c>
      <c r="H46" s="40">
        <f>IF($C46="",0,HLOOKUP(H$6,Controls,MATCH($C45,ControlsVariable,0)+MATCH($C46,$C$366:$C$367,0),FALSE))</f>
        <v>160</v>
      </c>
      <c r="I46" s="40">
        <f>IF($C46="",0,HLOOKUP(I$6,Controls,MATCH($C45,ControlsVariable,0)+MATCH($C46,$C$366:$C$367,0),FALSE))</f>
        <v>160</v>
      </c>
      <c r="J46" s="40">
        <f>IF($C46="",0,HLOOKUP(J$6,Controls,MATCH($C45,ControlsVariable,0)+MATCH($C46,$C$366:$C$367,0),FALSE))</f>
        <v>160</v>
      </c>
      <c r="K46" s="40">
        <f>IF($C46="",0,HLOOKUP(K$6,Controls,MATCH($C45,ControlsVariable,0)+MATCH($C46,$C$366:$C$367,0),FALSE))</f>
        <v>160</v>
      </c>
      <c r="L46" s="39"/>
      <c r="M46" s="40">
        <f>SUM(G46:K46)</f>
        <v>800</v>
      </c>
      <c r="N46" s="39"/>
    </row>
    <row r="47" spans="2:14" x14ac:dyDescent="0.4">
      <c r="B47" s="39"/>
      <c r="C47" s="58" t="str">
        <f>IF(C46="Yes, I want to increase the carbon tax","Note, by increasing the carbon tax as has been legislated for, you are generating extra budgetary resources for other measures","Note, you could increase budgetary resources by increasing the carbon tax as has been legislated for")</f>
        <v>Note, by increasing the carbon tax as has been legislated for, you are generating extra budgetary resources for other measures</v>
      </c>
      <c r="D47" s="40"/>
      <c r="E47" s="53"/>
      <c r="F47" s="53"/>
      <c r="G47" s="53"/>
      <c r="H47" s="53"/>
      <c r="I47" s="53"/>
      <c r="J47" s="53"/>
      <c r="K47" s="53"/>
      <c r="L47" s="39"/>
      <c r="M47" s="39"/>
      <c r="N47" s="39"/>
    </row>
    <row r="48" spans="2:14" x14ac:dyDescent="0.4">
      <c r="B48" s="39"/>
      <c r="C48" s="58"/>
      <c r="D48" s="39"/>
      <c r="E48" s="39"/>
      <c r="F48" s="39"/>
      <c r="G48" s="39"/>
      <c r="H48" s="39"/>
      <c r="I48" s="39"/>
      <c r="J48" s="39"/>
      <c r="K48" s="39"/>
      <c r="L48" s="39"/>
      <c r="M48" s="39"/>
      <c r="N48" s="39"/>
    </row>
    <row r="49" spans="2:14" x14ac:dyDescent="0.4">
      <c r="B49" s="39"/>
      <c r="C49" s="39" t="s">
        <v>14</v>
      </c>
      <c r="D49" s="40"/>
      <c r="E49" s="40"/>
      <c r="F49" s="40"/>
      <c r="G49" s="40">
        <f t="shared" ref="G49:J49" si="6">G380</f>
        <v>1096.5631360742905</v>
      </c>
      <c r="H49" s="40">
        <f t="shared" si="6"/>
        <v>1093.5302218158722</v>
      </c>
      <c r="I49" s="40">
        <f t="shared" si="6"/>
        <v>1125.0618276642108</v>
      </c>
      <c r="J49" s="40">
        <f t="shared" si="6"/>
        <v>1127.1616456666188</v>
      </c>
      <c r="K49" s="40">
        <f>K380</f>
        <v>1164.483693641846</v>
      </c>
      <c r="L49" s="39"/>
      <c r="M49" s="40">
        <f>SUM(G49:K49)</f>
        <v>5606.8005248628388</v>
      </c>
      <c r="N49" s="39"/>
    </row>
    <row r="50" spans="2:14" x14ac:dyDescent="0.4">
      <c r="B50" s="39"/>
      <c r="C50" s="58" t="s">
        <v>15</v>
      </c>
      <c r="D50" s="39"/>
      <c r="E50" s="39"/>
      <c r="F50" s="39"/>
      <c r="G50" s="39"/>
      <c r="H50" s="39"/>
      <c r="I50" s="39"/>
      <c r="J50" s="39"/>
      <c r="K50" s="39"/>
      <c r="L50" s="39"/>
      <c r="M50" s="39"/>
      <c r="N50" s="39"/>
    </row>
    <row r="51" spans="2:14" x14ac:dyDescent="0.4">
      <c r="B51" s="39"/>
      <c r="C51" s="39"/>
      <c r="D51" s="39"/>
      <c r="E51" s="39"/>
      <c r="F51" s="39"/>
      <c r="G51" s="40"/>
      <c r="H51" s="40"/>
      <c r="I51" s="40"/>
      <c r="J51" s="40"/>
      <c r="K51" s="40"/>
      <c r="L51" s="40"/>
      <c r="M51" s="40"/>
      <c r="N51" s="40"/>
    </row>
    <row r="52" spans="2:14" x14ac:dyDescent="0.4">
      <c r="B52" s="39"/>
      <c r="C52" s="39"/>
      <c r="D52" s="39"/>
      <c r="E52" s="39"/>
      <c r="F52" s="39"/>
      <c r="G52" s="39"/>
      <c r="H52" s="39"/>
      <c r="I52" s="39"/>
      <c r="J52" s="39"/>
      <c r="K52" s="39"/>
      <c r="L52" s="39"/>
      <c r="M52" s="39"/>
      <c r="N52" s="39"/>
    </row>
    <row r="53" spans="2:14" ht="22.9" x14ac:dyDescent="0.65">
      <c r="B53" s="39"/>
      <c r="C53" s="50" t="s">
        <v>16</v>
      </c>
      <c r="D53" s="39"/>
      <c r="E53" s="39"/>
      <c r="F53" s="39"/>
      <c r="G53" s="39"/>
      <c r="H53" s="39"/>
      <c r="I53" s="39"/>
      <c r="J53" s="39"/>
      <c r="K53" s="39"/>
      <c r="L53" s="39"/>
      <c r="M53" s="39"/>
      <c r="N53" s="39"/>
    </row>
    <row r="54" spans="2:14" x14ac:dyDescent="0.4">
      <c r="B54" s="39"/>
      <c r="C54" s="60"/>
      <c r="D54" s="39"/>
      <c r="E54" s="39"/>
      <c r="F54" s="39"/>
      <c r="G54" s="39"/>
      <c r="H54" s="39"/>
      <c r="I54" s="39"/>
      <c r="J54" s="39"/>
      <c r="K54" s="39"/>
      <c r="L54" s="39"/>
      <c r="M54" s="39"/>
      <c r="N54" s="39"/>
    </row>
    <row r="55" spans="2:14" x14ac:dyDescent="0.4">
      <c r="B55" s="39"/>
      <c r="C55" s="39" t="s">
        <v>118</v>
      </c>
      <c r="D55" s="39"/>
      <c r="E55" s="39"/>
      <c r="F55" s="39"/>
      <c r="G55" s="39"/>
      <c r="H55" s="39"/>
      <c r="I55" s="39"/>
      <c r="J55" s="39"/>
      <c r="K55" s="39"/>
      <c r="L55" s="39"/>
      <c r="M55" s="39"/>
      <c r="N55" s="39"/>
    </row>
    <row r="56" spans="2:14" x14ac:dyDescent="0.4">
      <c r="B56" s="39"/>
      <c r="C56" s="61" t="s">
        <v>17</v>
      </c>
      <c r="D56" s="39"/>
      <c r="E56" s="39"/>
      <c r="F56" s="39"/>
      <c r="G56" s="39"/>
      <c r="H56" s="39"/>
      <c r="I56" s="39"/>
      <c r="J56" s="39"/>
      <c r="K56" s="39"/>
      <c r="L56" s="39"/>
      <c r="M56" s="39"/>
      <c r="N56" s="39"/>
    </row>
    <row r="57" spans="2:14" x14ac:dyDescent="0.4">
      <c r="B57" s="39"/>
      <c r="C57" s="62"/>
      <c r="D57" s="39"/>
      <c r="E57" s="39"/>
      <c r="F57" s="39"/>
      <c r="G57" s="39"/>
      <c r="H57" s="39"/>
      <c r="I57" s="39"/>
      <c r="J57" s="39"/>
      <c r="K57" s="39"/>
      <c r="L57" s="39"/>
      <c r="M57" s="39"/>
      <c r="N57" s="39"/>
    </row>
    <row r="58" spans="2:14" x14ac:dyDescent="0.4">
      <c r="B58" s="39"/>
      <c r="C58" s="39" t="s">
        <v>18</v>
      </c>
      <c r="D58" s="39"/>
      <c r="E58" s="39"/>
      <c r="F58" s="39"/>
      <c r="G58" s="68">
        <v>0</v>
      </c>
      <c r="H58" s="68">
        <v>0</v>
      </c>
      <c r="I58" s="68">
        <v>0</v>
      </c>
      <c r="J58" s="68">
        <v>0</v>
      </c>
      <c r="K58" s="68">
        <v>0</v>
      </c>
      <c r="L58" s="39"/>
      <c r="M58" s="40">
        <f>SUM(G58:K58)</f>
        <v>0</v>
      </c>
      <c r="N58" s="39"/>
    </row>
    <row r="59" spans="2:14" x14ac:dyDescent="0.4">
      <c r="B59" s="39"/>
      <c r="C59" s="39" t="s">
        <v>19</v>
      </c>
      <c r="D59" s="39"/>
      <c r="E59" s="39"/>
      <c r="F59" s="39"/>
      <c r="G59" s="68">
        <v>0</v>
      </c>
      <c r="H59" s="68">
        <v>0</v>
      </c>
      <c r="I59" s="68">
        <v>0</v>
      </c>
      <c r="J59" s="68">
        <v>0</v>
      </c>
      <c r="K59" s="68">
        <v>0</v>
      </c>
      <c r="L59" s="39"/>
      <c r="M59" s="40">
        <f>SUM(G59:K59)</f>
        <v>0</v>
      </c>
      <c r="N59" s="39"/>
    </row>
    <row r="60" spans="2:14" x14ac:dyDescent="0.4">
      <c r="B60" s="39"/>
      <c r="C60" s="39" t="s">
        <v>20</v>
      </c>
      <c r="D60" s="39"/>
      <c r="E60" s="39"/>
      <c r="F60" s="39"/>
      <c r="G60" s="68">
        <v>0</v>
      </c>
      <c r="H60" s="68">
        <v>0</v>
      </c>
      <c r="I60" s="68">
        <v>0</v>
      </c>
      <c r="J60" s="68">
        <v>0</v>
      </c>
      <c r="K60" s="68">
        <v>0</v>
      </c>
      <c r="L60" s="39"/>
      <c r="M60" s="40">
        <f>SUM(G60:K60)</f>
        <v>0</v>
      </c>
      <c r="N60" s="39"/>
    </row>
    <row r="61" spans="2:14" x14ac:dyDescent="0.4">
      <c r="B61" s="39"/>
      <c r="C61" s="39"/>
      <c r="D61" s="39"/>
      <c r="E61" s="39"/>
      <c r="F61" s="39"/>
      <c r="G61" s="39"/>
      <c r="H61" s="39"/>
      <c r="I61" s="39"/>
      <c r="J61" s="39"/>
      <c r="K61" s="39"/>
      <c r="L61" s="39"/>
      <c r="M61" s="40"/>
      <c r="N61" s="39"/>
    </row>
    <row r="62" spans="2:14" x14ac:dyDescent="0.4">
      <c r="B62" s="39"/>
      <c r="C62" s="39"/>
      <c r="D62" s="39"/>
      <c r="E62" s="39"/>
      <c r="F62" s="39"/>
      <c r="G62" s="39"/>
      <c r="H62" s="39"/>
      <c r="I62" s="39"/>
      <c r="J62" s="39"/>
      <c r="K62" s="39"/>
      <c r="L62" s="39"/>
      <c r="M62" s="39"/>
      <c r="N62" s="39"/>
    </row>
    <row r="63" spans="2:14" ht="91.5" x14ac:dyDescent="0.65">
      <c r="B63" s="39"/>
      <c r="C63" s="63" t="s">
        <v>125</v>
      </c>
      <c r="D63" s="64"/>
      <c r="E63" s="64"/>
      <c r="F63" s="64"/>
      <c r="G63" s="39"/>
      <c r="H63" s="39"/>
      <c r="I63" s="39"/>
      <c r="J63" s="39"/>
      <c r="K63" s="39"/>
      <c r="L63" s="39"/>
      <c r="M63" s="39"/>
      <c r="N63" s="39"/>
    </row>
    <row r="64" spans="2:14" ht="22.9" x14ac:dyDescent="0.65">
      <c r="B64" s="39"/>
      <c r="C64" s="63"/>
      <c r="D64" s="64"/>
      <c r="E64" s="64"/>
      <c r="F64" s="64"/>
      <c r="G64" s="39"/>
      <c r="H64" s="39"/>
      <c r="I64" s="39"/>
      <c r="J64" s="39"/>
      <c r="K64" s="39"/>
      <c r="L64" s="39"/>
      <c r="M64" s="39"/>
      <c r="N64" s="39"/>
    </row>
    <row r="65" spans="2:14" x14ac:dyDescent="0.4">
      <c r="B65" s="39"/>
      <c r="C65" s="39" t="s">
        <v>126</v>
      </c>
      <c r="D65" s="64"/>
      <c r="E65" s="64"/>
      <c r="F65" s="64"/>
      <c r="G65" s="39"/>
      <c r="H65" s="39"/>
      <c r="I65" s="39"/>
      <c r="J65" s="39"/>
      <c r="K65" s="39"/>
      <c r="L65" s="39"/>
      <c r="M65" s="39"/>
      <c r="N65" s="39"/>
    </row>
    <row r="66" spans="2:14" x14ac:dyDescent="0.4">
      <c r="B66" s="39"/>
      <c r="C66" s="39"/>
      <c r="D66" s="64"/>
      <c r="E66" s="64"/>
      <c r="F66" s="64"/>
      <c r="G66" s="39"/>
      <c r="H66" s="39"/>
      <c r="I66" s="39"/>
      <c r="J66" s="39"/>
      <c r="K66" s="39"/>
      <c r="L66" s="39"/>
      <c r="M66" s="39"/>
      <c r="N66" s="39"/>
    </row>
    <row r="67" spans="2:14" x14ac:dyDescent="0.4">
      <c r="B67" s="39"/>
      <c r="C67" s="65" t="s">
        <v>133</v>
      </c>
      <c r="D67" s="64"/>
      <c r="E67" s="64"/>
      <c r="F67" s="64"/>
      <c r="G67" s="39"/>
      <c r="H67" s="39"/>
      <c r="I67" s="39"/>
      <c r="J67" s="39"/>
      <c r="K67" s="39"/>
      <c r="L67" s="39"/>
      <c r="M67" s="39"/>
      <c r="N67" s="39"/>
    </row>
    <row r="68" spans="2:14" x14ac:dyDescent="0.4">
      <c r="B68" s="39"/>
      <c r="C68" s="65"/>
      <c r="D68" s="64"/>
      <c r="E68" s="64"/>
      <c r="F68" s="64"/>
      <c r="G68" s="39"/>
      <c r="H68" s="39"/>
      <c r="I68" s="39"/>
      <c r="J68" s="39"/>
      <c r="K68" s="39"/>
      <c r="L68" s="39"/>
      <c r="M68" s="39"/>
      <c r="N68" s="39"/>
    </row>
    <row r="69" spans="2:14" x14ac:dyDescent="0.4">
      <c r="B69" s="39"/>
      <c r="C69" s="39" t="s">
        <v>136</v>
      </c>
      <c r="D69" s="64"/>
      <c r="E69" s="64"/>
      <c r="F69" s="64"/>
      <c r="G69" s="39"/>
      <c r="H69" s="39"/>
      <c r="I69" s="39"/>
      <c r="J69" s="39"/>
      <c r="K69" s="39"/>
      <c r="L69" s="39"/>
      <c r="M69" s="39"/>
      <c r="N69" s="39"/>
    </row>
    <row r="70" spans="2:14" x14ac:dyDescent="0.4">
      <c r="B70" s="39"/>
      <c r="C70" s="39" t="s">
        <v>137</v>
      </c>
      <c r="D70" s="64"/>
      <c r="E70" s="64"/>
      <c r="F70" s="64"/>
      <c r="G70" s="39"/>
      <c r="H70" s="39"/>
      <c r="I70" s="39"/>
      <c r="J70" s="39"/>
      <c r="K70" s="39"/>
      <c r="L70" s="39"/>
      <c r="M70" s="39"/>
      <c r="N70" s="39"/>
    </row>
    <row r="71" spans="2:14" x14ac:dyDescent="0.4">
      <c r="B71" s="39"/>
      <c r="C71" s="39" t="s">
        <v>138</v>
      </c>
      <c r="D71" s="64"/>
      <c r="E71" s="64"/>
      <c r="F71" s="64"/>
      <c r="G71" s="39"/>
      <c r="H71" s="39"/>
      <c r="I71" s="39"/>
      <c r="J71" s="39"/>
      <c r="K71" s="39"/>
      <c r="L71" s="39"/>
      <c r="M71" s="39"/>
      <c r="N71" s="39"/>
    </row>
    <row r="72" spans="2:14" x14ac:dyDescent="0.4">
      <c r="B72" s="39"/>
      <c r="C72" s="39"/>
      <c r="D72" s="64"/>
      <c r="E72" s="64"/>
      <c r="F72" s="64"/>
      <c r="G72" s="39"/>
      <c r="H72" s="39"/>
      <c r="I72" s="39"/>
      <c r="J72" s="39"/>
      <c r="K72" s="39"/>
      <c r="L72" s="39"/>
      <c r="M72" s="39"/>
      <c r="N72" s="39"/>
    </row>
    <row r="73" spans="2:14" x14ac:dyDescent="0.4">
      <c r="B73" s="39"/>
      <c r="C73" s="65" t="s">
        <v>134</v>
      </c>
      <c r="D73" s="64"/>
      <c r="E73" s="64"/>
      <c r="F73" s="64"/>
      <c r="G73" s="39"/>
      <c r="H73" s="39"/>
      <c r="I73" s="39"/>
      <c r="J73" s="39"/>
      <c r="K73" s="39"/>
      <c r="L73" s="39"/>
      <c r="M73" s="39"/>
      <c r="N73" s="39"/>
    </row>
    <row r="74" spans="2:14" x14ac:dyDescent="0.4">
      <c r="B74" s="39"/>
      <c r="C74" s="39"/>
      <c r="D74" s="64"/>
      <c r="E74" s="64"/>
      <c r="F74" s="64"/>
      <c r="G74" s="39"/>
      <c r="H74" s="39"/>
      <c r="I74" s="39"/>
      <c r="J74" s="39"/>
      <c r="K74" s="39"/>
      <c r="L74" s="39"/>
      <c r="M74" s="39"/>
      <c r="N74" s="39"/>
    </row>
    <row r="75" spans="2:14" x14ac:dyDescent="0.4">
      <c r="B75" s="39"/>
      <c r="C75" s="39" t="s">
        <v>139</v>
      </c>
      <c r="D75" s="64"/>
      <c r="E75" s="64"/>
      <c r="F75" s="64"/>
      <c r="G75" s="39"/>
      <c r="H75" s="39"/>
      <c r="I75" s="39"/>
      <c r="J75" s="39"/>
      <c r="K75" s="39"/>
      <c r="L75" s="39"/>
      <c r="M75" s="39"/>
      <c r="N75" s="39"/>
    </row>
    <row r="76" spans="2:14" x14ac:dyDescent="0.4">
      <c r="B76" s="39"/>
      <c r="C76" s="39" t="s">
        <v>140</v>
      </c>
      <c r="D76" s="64"/>
      <c r="E76" s="64"/>
      <c r="F76" s="64"/>
      <c r="G76" s="39"/>
      <c r="H76" s="39"/>
      <c r="I76" s="39"/>
      <c r="J76" s="39"/>
      <c r="K76" s="39"/>
      <c r="L76" s="39"/>
      <c r="M76" s="39"/>
      <c r="N76" s="39"/>
    </row>
    <row r="77" spans="2:14" x14ac:dyDescent="0.4">
      <c r="B77" s="39"/>
      <c r="C77" s="39" t="s">
        <v>141</v>
      </c>
      <c r="D77" s="64"/>
      <c r="E77" s="64"/>
      <c r="F77" s="64"/>
      <c r="G77" s="39"/>
      <c r="H77" s="39"/>
      <c r="I77" s="39"/>
      <c r="J77" s="39"/>
      <c r="K77" s="39"/>
      <c r="L77" s="39"/>
      <c r="M77" s="39"/>
      <c r="N77" s="39"/>
    </row>
    <row r="78" spans="2:14" x14ac:dyDescent="0.4">
      <c r="B78" s="39"/>
      <c r="C78" s="39"/>
      <c r="D78" s="64"/>
      <c r="E78" s="64"/>
      <c r="F78" s="64"/>
      <c r="G78" s="39"/>
      <c r="H78" s="39"/>
      <c r="I78" s="39"/>
      <c r="J78" s="39"/>
      <c r="K78" s="39"/>
      <c r="L78" s="39"/>
      <c r="M78" s="39"/>
      <c r="N78" s="39"/>
    </row>
    <row r="79" spans="2:14" x14ac:dyDescent="0.4">
      <c r="B79" s="39"/>
      <c r="C79" s="39" t="s">
        <v>135</v>
      </c>
      <c r="D79" s="39"/>
      <c r="E79" s="39"/>
      <c r="F79" s="39"/>
      <c r="G79" s="70">
        <v>6255</v>
      </c>
      <c r="H79" s="70">
        <v>6525</v>
      </c>
      <c r="I79" s="70">
        <v>6785</v>
      </c>
      <c r="J79" s="70">
        <v>7060</v>
      </c>
      <c r="K79" s="70">
        <v>7352</v>
      </c>
      <c r="L79" s="39"/>
      <c r="M79" s="39"/>
      <c r="N79" s="39"/>
    </row>
    <row r="80" spans="2:14" x14ac:dyDescent="0.4">
      <c r="B80" s="39"/>
      <c r="C80" s="39"/>
      <c r="D80" s="39"/>
      <c r="E80" s="39"/>
      <c r="F80" s="39"/>
      <c r="G80" s="39"/>
      <c r="H80" s="39"/>
      <c r="I80" s="39"/>
      <c r="J80" s="39"/>
      <c r="K80" s="39"/>
      <c r="L80" s="39"/>
      <c r="M80" s="39"/>
      <c r="N80" s="39"/>
    </row>
    <row r="81" spans="1:55" x14ac:dyDescent="0.4">
      <c r="B81" s="39"/>
      <c r="C81" s="39"/>
      <c r="D81" s="39"/>
      <c r="E81" s="39"/>
      <c r="F81" s="39"/>
      <c r="G81" s="39"/>
      <c r="H81" s="39"/>
      <c r="I81" s="39"/>
      <c r="J81" s="39"/>
      <c r="K81" s="39"/>
      <c r="L81" s="39"/>
      <c r="M81" s="39"/>
      <c r="N81" s="39"/>
    </row>
    <row r="82" spans="1:55" x14ac:dyDescent="0.4">
      <c r="B82" s="39"/>
      <c r="C82" s="39"/>
      <c r="D82" s="39"/>
      <c r="E82" s="39"/>
      <c r="F82" s="39"/>
      <c r="G82" s="39"/>
      <c r="H82" s="39"/>
      <c r="I82" s="66"/>
      <c r="J82" s="39"/>
      <c r="K82" s="39"/>
      <c r="L82" s="39"/>
      <c r="M82" s="39"/>
      <c r="N82" s="39"/>
    </row>
    <row r="83" spans="1:55" x14ac:dyDescent="0.4">
      <c r="B83" s="39"/>
      <c r="C83" s="39"/>
      <c r="D83" s="39"/>
      <c r="E83" s="39"/>
      <c r="F83" s="39"/>
      <c r="G83" s="39"/>
      <c r="H83" s="39"/>
      <c r="I83" s="39"/>
      <c r="J83" s="39"/>
      <c r="K83" s="39"/>
      <c r="L83" s="39"/>
      <c r="M83" s="39"/>
      <c r="N83" s="39"/>
    </row>
    <row r="84" spans="1:55" s="6" customFormat="1" ht="22.9" x14ac:dyDescent="0.65">
      <c r="A84" s="5"/>
      <c r="B84" s="39"/>
      <c r="C84" s="50" t="s">
        <v>157</v>
      </c>
      <c r="D84" s="39"/>
      <c r="E84" s="39"/>
      <c r="F84" s="39"/>
      <c r="G84" s="39"/>
      <c r="H84" s="39"/>
      <c r="I84" s="39"/>
      <c r="J84" s="39"/>
      <c r="K84" s="39"/>
      <c r="L84" s="39"/>
      <c r="M84" s="39"/>
      <c r="N84" s="39"/>
      <c r="O84" s="5"/>
      <c r="P84" s="5"/>
      <c r="Q84" s="5"/>
      <c r="R84" s="1"/>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1:55" x14ac:dyDescent="0.4">
      <c r="B85" s="39"/>
      <c r="C85" s="39"/>
      <c r="D85" s="39"/>
      <c r="E85" s="54" t="str">
        <f>IF(OR(F84&lt;-100,SUM(F84:G84)&lt;-100,SUM(F84:H84)&lt;-100,SUM(F84:I84)&lt;-100),"You have used up your budgetary resources","")</f>
        <v/>
      </c>
      <c r="F85" s="39"/>
      <c r="G85" s="40"/>
      <c r="H85" s="40"/>
      <c r="I85" s="40"/>
      <c r="J85" s="40"/>
      <c r="K85" s="40"/>
      <c r="L85" s="39"/>
      <c r="M85" s="39"/>
      <c r="N85" s="39"/>
    </row>
    <row r="86" spans="1:55" x14ac:dyDescent="0.4">
      <c r="B86" s="39"/>
      <c r="C86" s="39" t="s">
        <v>156</v>
      </c>
      <c r="D86" s="39"/>
      <c r="E86" s="40"/>
      <c r="F86" s="54"/>
      <c r="G86" s="40">
        <f>G286</f>
        <v>6260.75</v>
      </c>
      <c r="H86" s="40">
        <f t="shared" ref="H86:K86" si="7">H286</f>
        <v>6573.7875000000004</v>
      </c>
      <c r="I86" s="40">
        <f t="shared" si="7"/>
        <v>6902.4768750000003</v>
      </c>
      <c r="J86" s="40">
        <f t="shared" si="7"/>
        <v>7247.6007187499999</v>
      </c>
      <c r="K86" s="40">
        <f t="shared" si="7"/>
        <v>7609.9807546875008</v>
      </c>
      <c r="L86" s="39"/>
      <c r="M86" s="40">
        <f>SUM(G86:K86)</f>
        <v>34594.595848437501</v>
      </c>
      <c r="N86" s="39"/>
    </row>
    <row r="87" spans="1:55" x14ac:dyDescent="0.4">
      <c r="B87" s="39"/>
      <c r="C87" s="39" t="s">
        <v>155</v>
      </c>
      <c r="D87" s="40"/>
      <c r="E87" s="40"/>
      <c r="F87" s="40"/>
      <c r="G87" s="40">
        <f>G293</f>
        <v>6905.25</v>
      </c>
      <c r="H87" s="40">
        <f>H293</f>
        <v>7218.2875000000058</v>
      </c>
      <c r="I87" s="40">
        <f>I293</f>
        <v>7708.476874999993</v>
      </c>
      <c r="J87" s="40">
        <f>J293</f>
        <v>7407.6007187500072</v>
      </c>
      <c r="K87" s="40">
        <f>K293</f>
        <v>7769.980754687509</v>
      </c>
      <c r="L87" s="39"/>
      <c r="M87" s="40">
        <f>SUM(G87:K87)</f>
        <v>37009.595848437515</v>
      </c>
      <c r="N87" s="40"/>
      <c r="Q87" s="86"/>
    </row>
    <row r="88" spans="1:55" x14ac:dyDescent="0.4">
      <c r="B88" s="39"/>
      <c r="C88" s="39" t="s">
        <v>21</v>
      </c>
      <c r="D88" s="40"/>
      <c r="E88" s="40"/>
      <c r="F88" s="40"/>
      <c r="G88" s="40">
        <f>-G295</f>
        <v>-5870.0568643258312</v>
      </c>
      <c r="H88" s="40">
        <f t="shared" ref="H88:J88" si="8">-H295</f>
        <v>-4033.3947391881939</v>
      </c>
      <c r="I88" s="40">
        <f t="shared" si="8"/>
        <v>-4835.9356445393678</v>
      </c>
      <c r="J88" s="40">
        <f t="shared" si="8"/>
        <v>-3770.5591301883551</v>
      </c>
      <c r="K88" s="40">
        <f>-K295</f>
        <v>-3172.7102998657665</v>
      </c>
      <c r="L88" s="39"/>
      <c r="M88" s="40">
        <f t="shared" ref="M88:M91" si="9">SUM(G88:K88)</f>
        <v>-21682.656678107516</v>
      </c>
      <c r="N88" s="39"/>
    </row>
    <row r="89" spans="1:55" x14ac:dyDescent="0.4">
      <c r="B89" s="39"/>
      <c r="C89" s="39" t="s">
        <v>90</v>
      </c>
      <c r="D89" s="40"/>
      <c r="E89" s="40"/>
      <c r="F89" s="40"/>
      <c r="G89" s="40">
        <f>-SUM(G305:G306,-G313)+SUM(G308:G312)</f>
        <v>0</v>
      </c>
      <c r="H89" s="40">
        <f>-SUM(H305:H306,-H313)+SUM(H308:H312)</f>
        <v>0</v>
      </c>
      <c r="I89" s="40">
        <f>-SUM(I305:I306,-I313)+SUM(I308:I312)</f>
        <v>0</v>
      </c>
      <c r="J89" s="40">
        <f>-SUM(J305:J306,-J313)+SUM(J308:J312)</f>
        <v>0</v>
      </c>
      <c r="K89" s="40">
        <f>-SUM(K305:K306,-K313)+SUM(K308:K312)</f>
        <v>0</v>
      </c>
      <c r="L89" s="39"/>
      <c r="M89" s="40">
        <f t="shared" si="9"/>
        <v>0</v>
      </c>
      <c r="N89" s="39"/>
    </row>
    <row r="90" spans="1:55" x14ac:dyDescent="0.4">
      <c r="B90" s="39"/>
      <c r="C90" s="39"/>
      <c r="D90" s="40"/>
      <c r="E90" s="40"/>
      <c r="F90" s="40"/>
      <c r="G90" s="40"/>
      <c r="H90" s="40"/>
      <c r="I90" s="40"/>
      <c r="J90" s="40"/>
      <c r="K90" s="40"/>
      <c r="L90" s="39"/>
      <c r="M90" s="40"/>
      <c r="N90" s="39"/>
    </row>
    <row r="91" spans="1:55" s="76" customFormat="1" ht="15.4" x14ac:dyDescent="0.45">
      <c r="A91" s="71"/>
      <c r="B91" s="72"/>
      <c r="C91" s="73" t="s">
        <v>105</v>
      </c>
      <c r="D91" s="74"/>
      <c r="E91" s="74"/>
      <c r="F91" s="75"/>
      <c r="G91" s="75">
        <f>SUM(G87:G89)</f>
        <v>1035.1931356741688</v>
      </c>
      <c r="H91" s="75">
        <f>SUM(H87:H89)</f>
        <v>3184.892760811812</v>
      </c>
      <c r="I91" s="75">
        <f t="shared" ref="I91:K91" si="10">SUM(I87:I89)</f>
        <v>2872.5412304606252</v>
      </c>
      <c r="J91" s="75">
        <f t="shared" si="10"/>
        <v>3637.0415885616521</v>
      </c>
      <c r="K91" s="75">
        <f t="shared" si="10"/>
        <v>4597.2704548217425</v>
      </c>
      <c r="L91" s="73"/>
      <c r="M91" s="74">
        <f t="shared" si="9"/>
        <v>15326.939170330001</v>
      </c>
      <c r="N91" s="72"/>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row>
    <row r="92" spans="1:55" x14ac:dyDescent="0.4">
      <c r="B92" s="39"/>
      <c r="C92" s="39"/>
      <c r="D92" s="54"/>
      <c r="E92" s="39"/>
      <c r="F92" s="39"/>
      <c r="G92" s="54" t="str">
        <f>IF(M91&lt;0,"You have used up your budgetary resources","")</f>
        <v/>
      </c>
      <c r="H92" s="39"/>
      <c r="I92" s="40"/>
      <c r="J92" s="40"/>
      <c r="K92" s="40"/>
      <c r="L92" s="39"/>
      <c r="M92" s="39"/>
      <c r="N92" s="39"/>
    </row>
    <row r="93" spans="1:55" x14ac:dyDescent="0.4">
      <c r="B93" s="39"/>
      <c r="C93" s="39"/>
      <c r="D93" s="54"/>
      <c r="E93" s="40"/>
      <c r="F93" s="54"/>
      <c r="G93" s="40"/>
      <c r="H93" s="40"/>
      <c r="I93" s="40"/>
      <c r="J93" s="40"/>
      <c r="K93" s="40"/>
      <c r="L93" s="39"/>
      <c r="M93" s="39"/>
      <c r="N93" s="39"/>
    </row>
    <row r="94" spans="1:55" x14ac:dyDescent="0.4">
      <c r="B94" s="39"/>
      <c r="C94" s="39"/>
      <c r="D94" s="54"/>
      <c r="E94" s="40"/>
      <c r="F94" s="54"/>
      <c r="G94" s="40"/>
      <c r="H94" s="40"/>
      <c r="I94" s="40"/>
      <c r="J94" s="40"/>
      <c r="K94" s="40"/>
      <c r="L94" s="39"/>
      <c r="M94" s="39"/>
      <c r="N94" s="39"/>
    </row>
    <row r="95" spans="1:55" x14ac:dyDescent="0.4">
      <c r="B95" s="39"/>
      <c r="C95" s="67" t="s">
        <v>91</v>
      </c>
      <c r="D95" s="40"/>
      <c r="E95" s="40"/>
      <c r="F95" s="40">
        <f>F160-F179-F171-F161</f>
        <v>-5700</v>
      </c>
      <c r="G95" s="40">
        <f>G160-G179-G171-G161</f>
        <v>-3857.0228385081282</v>
      </c>
      <c r="H95" s="40">
        <f t="shared" ref="H95:J95" si="11">H160-H179-H171-H161</f>
        <v>-977.71582328440854</v>
      </c>
      <c r="I95" s="40">
        <f t="shared" si="11"/>
        <v>2223.0160185165587</v>
      </c>
      <c r="J95" s="40">
        <f t="shared" si="11"/>
        <v>4576.5551388241583</v>
      </c>
      <c r="K95" s="40">
        <f t="shared" ref="K95" si="12">K160-K179-K171-K161</f>
        <v>7077.0754061343323</v>
      </c>
      <c r="L95" s="39"/>
      <c r="M95" s="40">
        <f>SUM(G95:K95)</f>
        <v>9041.9079016825126</v>
      </c>
      <c r="N95" s="39"/>
    </row>
    <row r="96" spans="1:55" x14ac:dyDescent="0.4">
      <c r="B96" s="39"/>
      <c r="C96" s="39" t="s">
        <v>22</v>
      </c>
      <c r="D96" s="41"/>
      <c r="E96" s="41"/>
      <c r="F96" s="41">
        <f t="shared" ref="F96:K96" si="13">F95/F$191%</f>
        <v>-1.723599926295456</v>
      </c>
      <c r="G96" s="41">
        <f t="shared" si="13"/>
        <v>-1.103703678856764</v>
      </c>
      <c r="H96" s="41">
        <f t="shared" si="13"/>
        <v>-0.26633050829477489</v>
      </c>
      <c r="I96" s="41">
        <f t="shared" si="13"/>
        <v>0.57763326364535084</v>
      </c>
      <c r="J96" s="41">
        <f t="shared" si="13"/>
        <v>1.1385397087236733</v>
      </c>
      <c r="K96" s="41">
        <f t="shared" si="13"/>
        <v>1.6841349263179179</v>
      </c>
      <c r="L96" s="39"/>
      <c r="M96" s="39"/>
      <c r="N96" s="39"/>
    </row>
    <row r="97" spans="2:14" x14ac:dyDescent="0.4">
      <c r="B97" s="39"/>
      <c r="C97" s="55"/>
      <c r="D97" s="40"/>
      <c r="E97" s="40"/>
      <c r="F97" s="40"/>
      <c r="G97" s="40"/>
      <c r="H97" s="40"/>
      <c r="I97" s="40"/>
      <c r="J97" s="40"/>
      <c r="K97" s="40"/>
      <c r="L97" s="39"/>
      <c r="M97" s="39"/>
      <c r="N97" s="39"/>
    </row>
    <row r="98" spans="2:14" x14ac:dyDescent="0.4">
      <c r="B98" s="39"/>
      <c r="C98" s="55"/>
      <c r="D98" s="40"/>
      <c r="E98" s="40"/>
      <c r="F98" s="40"/>
      <c r="G98" s="40"/>
      <c r="H98" s="40"/>
      <c r="I98" s="40"/>
      <c r="J98" s="40"/>
      <c r="K98" s="40"/>
      <c r="L98" s="39"/>
      <c r="M98" s="39"/>
      <c r="N98" s="39"/>
    </row>
    <row r="99" spans="2:14" x14ac:dyDescent="0.4">
      <c r="B99" s="39"/>
      <c r="C99" s="39" t="s">
        <v>23</v>
      </c>
      <c r="D99" s="40">
        <v>179245</v>
      </c>
      <c r="E99" s="40">
        <v>166324.14372999998</v>
      </c>
      <c r="F99" s="40">
        <v>154569.62607000003</v>
      </c>
      <c r="G99" s="40">
        <f>F99-G375</f>
        <v>149381.64890850816</v>
      </c>
      <c r="H99" s="40">
        <f>G99-H375</f>
        <v>142684.36473179256</v>
      </c>
      <c r="I99" s="40">
        <f>H99-I375</f>
        <v>130046.34871327601</v>
      </c>
      <c r="J99" s="40">
        <f>I99-J375</f>
        <v>114429.79357445185</v>
      </c>
      <c r="K99" s="40">
        <f>J99-K375</f>
        <v>95704.718168317515</v>
      </c>
      <c r="L99" s="39"/>
      <c r="M99" s="39"/>
      <c r="N99" s="39"/>
    </row>
    <row r="100" spans="2:14" x14ac:dyDescent="0.4">
      <c r="B100" s="39"/>
      <c r="C100" s="39" t="s">
        <v>22</v>
      </c>
      <c r="D100" s="41">
        <f t="shared" ref="D100:K100" si="14">D99/D$191%</f>
        <v>61.662970801642821</v>
      </c>
      <c r="E100" s="41">
        <f t="shared" si="14"/>
        <v>52.944952003394341</v>
      </c>
      <c r="F100" s="41">
        <f t="shared" si="14"/>
        <v>46.73968352662601</v>
      </c>
      <c r="G100" s="41">
        <f t="shared" si="14"/>
        <v>42.746201502343659</v>
      </c>
      <c r="H100" s="41">
        <f t="shared" si="14"/>
        <v>38.867325739987713</v>
      </c>
      <c r="I100" s="41">
        <f t="shared" si="14"/>
        <v>33.791522961017044</v>
      </c>
      <c r="J100" s="41">
        <f t="shared" si="14"/>
        <v>28.467452023103927</v>
      </c>
      <c r="K100" s="41">
        <f t="shared" si="14"/>
        <v>22.774896299814429</v>
      </c>
      <c r="L100" s="39"/>
      <c r="M100" s="39"/>
      <c r="N100" s="39"/>
    </row>
    <row r="101" spans="2:14" x14ac:dyDescent="0.4">
      <c r="B101" s="39"/>
      <c r="C101" s="39" t="s">
        <v>24</v>
      </c>
      <c r="D101" s="40"/>
      <c r="E101" s="41">
        <f>E100-D100</f>
        <v>-8.7180187982484796</v>
      </c>
      <c r="F101" s="41">
        <f t="shared" ref="F101:K101" si="15">F100-E100</f>
        <v>-6.2052684767683317</v>
      </c>
      <c r="G101" s="41">
        <f t="shared" si="15"/>
        <v>-3.9934820242823506</v>
      </c>
      <c r="H101" s="41">
        <f t="shared" si="15"/>
        <v>-3.8788757623559462</v>
      </c>
      <c r="I101" s="41">
        <f t="shared" si="15"/>
        <v>-5.0758027789706688</v>
      </c>
      <c r="J101" s="41">
        <f t="shared" si="15"/>
        <v>-5.3240709379131168</v>
      </c>
      <c r="K101" s="41">
        <f t="shared" si="15"/>
        <v>-5.6925557232894981</v>
      </c>
      <c r="L101" s="39"/>
      <c r="M101" s="39"/>
      <c r="N101" s="39"/>
    </row>
    <row r="102" spans="2:14" x14ac:dyDescent="0.4">
      <c r="B102" s="39"/>
      <c r="C102" s="39"/>
      <c r="D102" s="40"/>
      <c r="E102" s="41"/>
      <c r="F102" s="41"/>
      <c r="G102" s="41"/>
      <c r="H102" s="41"/>
      <c r="I102" s="41"/>
      <c r="J102" s="41"/>
      <c r="K102" s="41"/>
      <c r="L102" s="39"/>
      <c r="M102" s="39"/>
      <c r="N102" s="39"/>
    </row>
    <row r="103" spans="2:14" x14ac:dyDescent="0.4">
      <c r="B103" s="39"/>
      <c r="C103" s="39"/>
      <c r="D103" s="40"/>
      <c r="E103" s="41"/>
      <c r="F103" s="41"/>
      <c r="G103" s="41"/>
      <c r="H103" s="41"/>
      <c r="I103" s="41"/>
      <c r="J103" s="41"/>
      <c r="K103" s="41"/>
      <c r="L103" s="39"/>
      <c r="M103" s="39"/>
      <c r="N103" s="39"/>
    </row>
    <row r="104" spans="2:14" x14ac:dyDescent="0.4">
      <c r="B104" s="39"/>
      <c r="C104" s="39"/>
      <c r="D104" s="40"/>
      <c r="E104" s="41"/>
      <c r="F104" s="41"/>
      <c r="G104" s="41"/>
      <c r="H104" s="41"/>
      <c r="I104" s="41"/>
      <c r="J104" s="41"/>
      <c r="K104" s="41"/>
      <c r="L104" s="39"/>
      <c r="M104" s="39"/>
      <c r="N104" s="39"/>
    </row>
    <row r="105" spans="2:14" x14ac:dyDescent="0.4">
      <c r="B105" s="39"/>
      <c r="C105" s="39"/>
      <c r="D105" s="40"/>
      <c r="E105" s="41"/>
      <c r="F105" s="41"/>
      <c r="G105" s="41"/>
      <c r="H105" s="41"/>
      <c r="I105" s="41"/>
      <c r="J105" s="41"/>
      <c r="K105" s="41"/>
      <c r="L105" s="39"/>
      <c r="M105" s="39"/>
      <c r="N105" s="39"/>
    </row>
    <row r="106" spans="2:14" x14ac:dyDescent="0.4">
      <c r="B106" s="39"/>
      <c r="C106" s="39"/>
      <c r="D106" s="40"/>
      <c r="E106" s="41"/>
      <c r="F106" s="41"/>
      <c r="G106" s="41"/>
      <c r="H106" s="41"/>
      <c r="I106" s="41"/>
      <c r="J106" s="41"/>
      <c r="K106" s="41"/>
      <c r="L106" s="39"/>
      <c r="M106" s="39"/>
      <c r="N106" s="39"/>
    </row>
    <row r="107" spans="2:14" x14ac:dyDescent="0.4">
      <c r="B107" s="39"/>
      <c r="C107" s="39"/>
      <c r="D107" s="39"/>
      <c r="E107" s="54" t="str">
        <f>IF(OR(F101&gt;F$370+F$374,G101&gt;G$370+G$374,H101&gt;H$370+H$374,I101&gt;I$370+I$374),"The debt ratio does not meet its targeted reduction","")</f>
        <v/>
      </c>
      <c r="F107" s="39"/>
      <c r="G107" s="39"/>
      <c r="H107" s="39"/>
      <c r="I107" s="39"/>
      <c r="J107" s="39"/>
      <c r="K107" s="39"/>
      <c r="L107" s="39"/>
      <c r="M107" s="39"/>
      <c r="N107" s="39"/>
    </row>
    <row r="108" spans="2:14" x14ac:dyDescent="0.4">
      <c r="B108" s="39"/>
      <c r="C108" s="55"/>
      <c r="D108" s="40"/>
      <c r="E108" s="40"/>
      <c r="F108" s="40"/>
      <c r="G108" s="40"/>
      <c r="H108" s="40"/>
      <c r="I108" s="40"/>
      <c r="J108" s="40"/>
      <c r="K108" s="40"/>
      <c r="L108" s="39"/>
      <c r="M108" s="39"/>
      <c r="N108" s="39"/>
    </row>
    <row r="109" spans="2:14" x14ac:dyDescent="0.4">
      <c r="B109" s="39"/>
      <c r="C109" s="39"/>
      <c r="D109" s="39"/>
      <c r="E109" s="40"/>
      <c r="F109" s="54"/>
      <c r="G109" s="40"/>
      <c r="H109" s="40"/>
      <c r="I109" s="40"/>
      <c r="J109" s="40"/>
      <c r="K109" s="40"/>
      <c r="L109" s="39"/>
      <c r="M109" s="39"/>
      <c r="N109" s="39"/>
    </row>
    <row r="110" spans="2:14" x14ac:dyDescent="0.4">
      <c r="B110" s="39"/>
      <c r="C110" s="39"/>
      <c r="D110" s="39"/>
      <c r="E110" s="40"/>
      <c r="F110" s="54"/>
      <c r="G110" s="40"/>
      <c r="H110" s="40"/>
      <c r="I110" s="40"/>
      <c r="J110" s="40"/>
      <c r="K110" s="40"/>
      <c r="L110" s="39"/>
      <c r="M110" s="39"/>
      <c r="N110" s="39"/>
    </row>
    <row r="111" spans="2:14" x14ac:dyDescent="0.4">
      <c r="B111" s="39"/>
      <c r="C111" s="39"/>
      <c r="D111" s="39"/>
      <c r="E111" s="40"/>
      <c r="F111" s="54"/>
      <c r="G111" s="40"/>
      <c r="H111" s="40"/>
      <c r="I111" s="40"/>
      <c r="J111" s="40"/>
      <c r="K111" s="40"/>
      <c r="L111" s="39"/>
      <c r="M111" s="39"/>
      <c r="N111" s="39"/>
    </row>
    <row r="112" spans="2:14" x14ac:dyDescent="0.4">
      <c r="B112" s="39"/>
      <c r="C112" s="39"/>
      <c r="D112" s="39"/>
      <c r="E112" s="40"/>
      <c r="F112" s="54"/>
      <c r="G112" s="40"/>
      <c r="H112" s="40"/>
      <c r="I112" s="40"/>
      <c r="J112" s="40"/>
      <c r="K112" s="40"/>
      <c r="L112" s="39"/>
      <c r="M112" s="39"/>
      <c r="N112" s="39"/>
    </row>
    <row r="113" spans="2:14" x14ac:dyDescent="0.4">
      <c r="B113" s="39"/>
      <c r="C113" s="39"/>
      <c r="D113" s="39"/>
      <c r="E113" s="40"/>
      <c r="F113" s="54"/>
      <c r="G113" s="40"/>
      <c r="H113" s="40"/>
      <c r="I113" s="40"/>
      <c r="J113" s="40"/>
      <c r="K113" s="40"/>
      <c r="L113" s="39"/>
      <c r="M113" s="39"/>
      <c r="N113" s="39"/>
    </row>
    <row r="114" spans="2:14" x14ac:dyDescent="0.4">
      <c r="B114" s="39"/>
      <c r="C114" s="39"/>
      <c r="D114" s="39"/>
      <c r="E114" s="40"/>
      <c r="F114" s="54"/>
      <c r="G114" s="40"/>
      <c r="H114" s="40"/>
      <c r="I114" s="40"/>
      <c r="J114" s="40"/>
      <c r="K114" s="40"/>
      <c r="L114" s="39"/>
      <c r="M114" s="39"/>
      <c r="N114" s="39"/>
    </row>
    <row r="115" spans="2:14" x14ac:dyDescent="0.4">
      <c r="B115" s="39"/>
      <c r="C115" s="39"/>
      <c r="D115" s="39"/>
      <c r="E115" s="40"/>
      <c r="F115" s="54"/>
      <c r="G115" s="40"/>
      <c r="H115" s="40"/>
      <c r="I115" s="40"/>
      <c r="J115" s="40"/>
      <c r="K115" s="40"/>
      <c r="L115" s="39"/>
      <c r="M115" s="39"/>
      <c r="N115" s="39"/>
    </row>
    <row r="116" spans="2:14" x14ac:dyDescent="0.4">
      <c r="B116" s="39"/>
      <c r="C116" s="39"/>
      <c r="D116" s="40"/>
      <c r="E116" s="40"/>
      <c r="F116" s="40"/>
      <c r="G116" s="40"/>
      <c r="H116" s="40"/>
      <c r="I116" s="40"/>
      <c r="J116" s="40"/>
      <c r="K116" s="40"/>
      <c r="L116" s="39"/>
      <c r="M116" s="39"/>
      <c r="N116" s="39"/>
    </row>
    <row r="117" spans="2:14" x14ac:dyDescent="0.4">
      <c r="B117" s="39"/>
      <c r="C117" s="39"/>
      <c r="D117" s="40"/>
      <c r="E117" s="40"/>
      <c r="F117" s="40"/>
      <c r="G117" s="40"/>
      <c r="H117" s="40"/>
      <c r="I117" s="40"/>
      <c r="J117" s="40"/>
      <c r="K117" s="40"/>
      <c r="L117" s="39"/>
      <c r="M117" s="39"/>
      <c r="N117" s="39"/>
    </row>
    <row r="118" spans="2:14" x14ac:dyDescent="0.4">
      <c r="B118" s="39"/>
      <c r="C118" s="39"/>
      <c r="D118" s="40"/>
      <c r="E118" s="40"/>
      <c r="F118" s="40"/>
      <c r="G118" s="40"/>
      <c r="H118" s="40"/>
      <c r="I118" s="40"/>
      <c r="J118" s="40"/>
      <c r="K118" s="40"/>
      <c r="L118" s="39"/>
      <c r="M118" s="39"/>
      <c r="N118" s="39"/>
    </row>
    <row r="119" spans="2:14" x14ac:dyDescent="0.4">
      <c r="B119" s="39"/>
      <c r="C119" s="39"/>
      <c r="D119" s="40"/>
      <c r="E119" s="40"/>
      <c r="F119" s="40"/>
      <c r="G119" s="40"/>
      <c r="H119" s="40"/>
      <c r="I119" s="40"/>
      <c r="J119" s="40"/>
      <c r="K119" s="40"/>
      <c r="L119" s="39"/>
      <c r="M119" s="39"/>
      <c r="N119" s="39"/>
    </row>
    <row r="120" spans="2:14" x14ac:dyDescent="0.4">
      <c r="B120" s="39"/>
      <c r="C120" s="39"/>
      <c r="D120" s="40"/>
      <c r="E120" s="40"/>
      <c r="F120" s="40"/>
      <c r="G120" s="40"/>
      <c r="H120" s="40"/>
      <c r="I120" s="40"/>
      <c r="J120" s="40"/>
      <c r="K120" s="40"/>
      <c r="L120" s="39"/>
      <c r="M120" s="39"/>
      <c r="N120" s="39"/>
    </row>
    <row r="121" spans="2:14" x14ac:dyDescent="0.4">
      <c r="B121" s="39"/>
      <c r="C121" s="39"/>
      <c r="D121" s="40"/>
      <c r="E121" s="40"/>
      <c r="F121" s="40"/>
      <c r="G121" s="40"/>
      <c r="H121" s="40"/>
      <c r="I121" s="40"/>
      <c r="J121" s="40"/>
      <c r="K121" s="40"/>
      <c r="L121" s="39"/>
      <c r="M121" s="39"/>
      <c r="N121" s="39"/>
    </row>
    <row r="122" spans="2:14" x14ac:dyDescent="0.4">
      <c r="B122" s="39"/>
      <c r="C122" s="39"/>
      <c r="D122" s="40"/>
      <c r="E122" s="40"/>
      <c r="F122" s="40"/>
      <c r="G122" s="40"/>
      <c r="H122" s="40"/>
      <c r="I122" s="40"/>
      <c r="J122" s="40"/>
      <c r="K122" s="40"/>
      <c r="L122" s="39"/>
      <c r="M122" s="39"/>
      <c r="N122" s="39"/>
    </row>
    <row r="123" spans="2:14" x14ac:dyDescent="0.4">
      <c r="B123" s="39"/>
      <c r="C123" s="39"/>
      <c r="D123" s="40"/>
      <c r="E123" s="40"/>
      <c r="F123" s="40"/>
      <c r="G123" s="40"/>
      <c r="H123" s="40"/>
      <c r="I123" s="40"/>
      <c r="J123" s="40"/>
      <c r="K123" s="40"/>
      <c r="L123" s="39"/>
      <c r="M123" s="39"/>
      <c r="N123" s="39"/>
    </row>
    <row r="124" spans="2:14" x14ac:dyDescent="0.4">
      <c r="B124" s="39"/>
      <c r="C124" s="39"/>
      <c r="D124" s="40"/>
      <c r="E124" s="40"/>
      <c r="F124" s="40"/>
      <c r="G124" s="40"/>
      <c r="H124" s="40"/>
      <c r="I124" s="40"/>
      <c r="J124" s="40"/>
      <c r="K124" s="40"/>
      <c r="L124" s="39"/>
      <c r="M124" s="39"/>
      <c r="N124" s="39"/>
    </row>
    <row r="125" spans="2:14" x14ac:dyDescent="0.4">
      <c r="B125" s="39"/>
      <c r="C125" s="39"/>
      <c r="D125" s="40"/>
      <c r="E125" s="40"/>
      <c r="F125" s="40"/>
      <c r="G125" s="40"/>
      <c r="H125" s="40"/>
      <c r="I125" s="40"/>
      <c r="J125" s="40"/>
      <c r="K125" s="40"/>
      <c r="L125" s="39"/>
      <c r="M125" s="39"/>
      <c r="N125" s="39"/>
    </row>
    <row r="126" spans="2:14" x14ac:dyDescent="0.4">
      <c r="B126" s="39"/>
      <c r="C126" s="39"/>
      <c r="D126" s="40"/>
      <c r="E126" s="40"/>
      <c r="F126" s="40"/>
      <c r="G126" s="40"/>
      <c r="H126" s="40"/>
      <c r="I126" s="40"/>
      <c r="J126" s="40"/>
      <c r="K126" s="40"/>
      <c r="L126" s="39"/>
      <c r="M126" s="39"/>
      <c r="N126" s="39"/>
    </row>
    <row r="127" spans="2:14" x14ac:dyDescent="0.4">
      <c r="B127" s="39"/>
      <c r="C127" s="39"/>
      <c r="D127" s="40"/>
      <c r="E127" s="40"/>
      <c r="F127" s="40"/>
      <c r="G127" s="40"/>
      <c r="H127" s="40"/>
      <c r="I127" s="40"/>
      <c r="J127" s="40"/>
      <c r="K127" s="40"/>
      <c r="L127" s="39"/>
      <c r="M127" s="39"/>
      <c r="N127" s="39"/>
    </row>
    <row r="128" spans="2:14" x14ac:dyDescent="0.4">
      <c r="B128" s="39"/>
      <c r="C128" s="39"/>
      <c r="D128" s="40"/>
      <c r="E128" s="40"/>
      <c r="F128" s="40"/>
      <c r="G128" s="40"/>
      <c r="H128" s="40"/>
      <c r="I128" s="40"/>
      <c r="J128" s="40"/>
      <c r="K128" s="40"/>
      <c r="L128" s="39"/>
      <c r="M128" s="39"/>
      <c r="N128" s="39"/>
    </row>
    <row r="129" spans="2:14" ht="17.649999999999999" x14ac:dyDescent="0.5">
      <c r="B129" s="39"/>
      <c r="C129" s="39"/>
      <c r="D129" s="40"/>
      <c r="E129" s="56"/>
      <c r="F129" s="40"/>
      <c r="G129" s="40"/>
      <c r="H129" s="40"/>
      <c r="I129" s="40"/>
      <c r="J129" s="40"/>
      <c r="K129" s="40"/>
      <c r="L129" s="39"/>
      <c r="M129" s="39"/>
      <c r="N129" s="39"/>
    </row>
    <row r="130" spans="2:14" x14ac:dyDescent="0.4">
      <c r="B130" s="39"/>
      <c r="C130" s="39"/>
      <c r="D130" s="40"/>
      <c r="E130" s="57"/>
      <c r="F130" s="40"/>
      <c r="G130" s="40"/>
      <c r="H130" s="40"/>
      <c r="I130" s="40"/>
      <c r="J130" s="40"/>
      <c r="K130" s="40"/>
      <c r="L130" s="39"/>
      <c r="M130" s="39"/>
      <c r="N130" s="39"/>
    </row>
    <row r="131" spans="2:14" x14ac:dyDescent="0.4">
      <c r="B131" s="39"/>
      <c r="C131" s="39"/>
      <c r="D131" s="40"/>
      <c r="E131" s="40"/>
      <c r="F131" s="40"/>
      <c r="G131" s="40"/>
      <c r="H131" s="40"/>
      <c r="I131" s="40"/>
      <c r="J131" s="40"/>
      <c r="K131" s="40"/>
      <c r="L131" s="39"/>
      <c r="M131" s="39"/>
      <c r="N131" s="39"/>
    </row>
    <row r="132" spans="2:14" x14ac:dyDescent="0.4">
      <c r="B132" s="39"/>
      <c r="C132" s="39"/>
      <c r="D132" s="40"/>
      <c r="E132" s="40"/>
      <c r="F132" s="40"/>
      <c r="G132" s="40"/>
      <c r="H132" s="40"/>
      <c r="I132" s="40"/>
      <c r="J132" s="40"/>
      <c r="K132" s="40"/>
      <c r="L132" s="39"/>
      <c r="M132" s="39"/>
      <c r="N132" s="39"/>
    </row>
    <row r="133" spans="2:14" x14ac:dyDescent="0.4">
      <c r="B133" s="39"/>
      <c r="C133" s="39"/>
      <c r="D133" s="40"/>
      <c r="E133" s="40"/>
      <c r="F133" s="40"/>
      <c r="G133" s="40"/>
      <c r="H133" s="40"/>
      <c r="I133" s="40"/>
      <c r="J133" s="40"/>
      <c r="K133" s="40"/>
      <c r="L133" s="39"/>
      <c r="M133" s="39"/>
      <c r="N133" s="39"/>
    </row>
    <row r="134" spans="2:14" x14ac:dyDescent="0.4">
      <c r="B134" s="39"/>
      <c r="C134" s="39"/>
      <c r="D134" s="40"/>
      <c r="E134" s="40"/>
      <c r="F134" s="40"/>
      <c r="G134" s="40"/>
      <c r="H134" s="40"/>
      <c r="I134" s="40"/>
      <c r="J134" s="40"/>
      <c r="K134" s="40"/>
      <c r="L134" s="39"/>
      <c r="M134" s="39"/>
      <c r="N134" s="39"/>
    </row>
    <row r="135" spans="2:14" x14ac:dyDescent="0.4">
      <c r="B135" s="39"/>
      <c r="C135" s="39"/>
      <c r="D135" s="40"/>
      <c r="E135" s="40"/>
      <c r="F135" s="40"/>
      <c r="G135" s="40"/>
      <c r="H135" s="40"/>
      <c r="I135" s="40"/>
      <c r="J135" s="40"/>
      <c r="K135" s="40"/>
      <c r="L135" s="39"/>
      <c r="M135" s="39"/>
      <c r="N135" s="39"/>
    </row>
    <row r="136" spans="2:14" x14ac:dyDescent="0.4">
      <c r="B136" s="39"/>
      <c r="C136" s="39"/>
      <c r="D136" s="40"/>
      <c r="E136" s="40"/>
      <c r="F136" s="40"/>
      <c r="G136" s="40"/>
      <c r="H136" s="40"/>
      <c r="I136" s="40"/>
      <c r="J136" s="40"/>
      <c r="K136" s="40"/>
      <c r="L136" s="39"/>
      <c r="M136" s="39"/>
      <c r="N136" s="39"/>
    </row>
    <row r="137" spans="2:14" x14ac:dyDescent="0.4">
      <c r="B137" s="39"/>
      <c r="C137" s="39"/>
      <c r="D137" s="40"/>
      <c r="E137" s="40"/>
      <c r="F137" s="40"/>
      <c r="G137" s="40"/>
      <c r="H137" s="40"/>
      <c r="I137" s="40"/>
      <c r="J137" s="40"/>
      <c r="K137" s="40"/>
      <c r="L137" s="39"/>
      <c r="M137" s="39"/>
      <c r="N137" s="39"/>
    </row>
    <row r="138" spans="2:14" x14ac:dyDescent="0.4">
      <c r="B138" s="39"/>
      <c r="C138" s="39"/>
      <c r="D138" s="40"/>
      <c r="E138" s="40"/>
      <c r="F138" s="40"/>
      <c r="G138" s="40"/>
      <c r="H138" s="40"/>
      <c r="I138" s="40"/>
      <c r="J138" s="40"/>
      <c r="K138" s="40"/>
      <c r="L138" s="39"/>
      <c r="M138" s="39"/>
      <c r="N138" s="39"/>
    </row>
    <row r="139" spans="2:14" x14ac:dyDescent="0.4">
      <c r="B139" s="39"/>
      <c r="C139" s="39"/>
      <c r="D139" s="40"/>
      <c r="E139" s="40"/>
      <c r="F139" s="40"/>
      <c r="G139" s="40"/>
      <c r="H139" s="40"/>
      <c r="I139" s="40"/>
      <c r="J139" s="40"/>
      <c r="K139" s="40"/>
      <c r="L139" s="39"/>
      <c r="M139" s="39"/>
      <c r="N139" s="39"/>
    </row>
    <row r="140" spans="2:14" x14ac:dyDescent="0.4">
      <c r="B140" s="39"/>
      <c r="C140" s="39"/>
      <c r="D140" s="40"/>
      <c r="E140" s="40"/>
      <c r="F140" s="40"/>
      <c r="G140" s="40"/>
      <c r="H140" s="40"/>
      <c r="I140" s="40"/>
      <c r="J140" s="40"/>
      <c r="K140" s="40"/>
      <c r="L140" s="39"/>
      <c r="M140" s="39"/>
      <c r="N140" s="39"/>
    </row>
    <row r="141" spans="2:14" x14ac:dyDescent="0.4">
      <c r="B141" s="39"/>
      <c r="C141" s="39"/>
      <c r="D141" s="40"/>
      <c r="E141" s="40"/>
      <c r="F141" s="40"/>
      <c r="G141" s="40"/>
      <c r="H141" s="40"/>
      <c r="I141" s="40"/>
      <c r="J141" s="40"/>
      <c r="K141" s="40"/>
      <c r="L141" s="39"/>
      <c r="M141" s="39"/>
      <c r="N141" s="39"/>
    </row>
    <row r="142" spans="2:14" x14ac:dyDescent="0.4">
      <c r="B142" s="39"/>
      <c r="C142" s="39"/>
      <c r="D142" s="40"/>
      <c r="E142" s="40"/>
      <c r="F142" s="40"/>
      <c r="G142" s="40"/>
      <c r="H142" s="40"/>
      <c r="I142" s="40"/>
      <c r="J142" s="40"/>
      <c r="K142" s="40"/>
      <c r="L142" s="39"/>
      <c r="M142" s="39"/>
      <c r="N142" s="39"/>
    </row>
    <row r="143" spans="2:14" x14ac:dyDescent="0.4">
      <c r="B143" s="39"/>
      <c r="C143" s="39"/>
      <c r="D143" s="40"/>
      <c r="E143" s="40"/>
      <c r="F143" s="40"/>
      <c r="G143" s="40"/>
      <c r="H143" s="40"/>
      <c r="I143" s="40"/>
      <c r="J143" s="40"/>
      <c r="K143" s="40"/>
      <c r="L143" s="39"/>
      <c r="M143" s="39"/>
      <c r="N143" s="39"/>
    </row>
    <row r="144" spans="2:14" x14ac:dyDescent="0.4">
      <c r="B144" s="39"/>
      <c r="C144" s="39"/>
      <c r="D144" s="40"/>
      <c r="E144" s="40"/>
      <c r="F144" s="40"/>
      <c r="G144" s="40"/>
      <c r="H144" s="40"/>
      <c r="I144" s="40"/>
      <c r="J144" s="40"/>
      <c r="K144" s="40"/>
      <c r="L144" s="39"/>
      <c r="M144" s="39"/>
      <c r="N144" s="39"/>
    </row>
    <row r="145" spans="2:14" x14ac:dyDescent="0.4">
      <c r="B145" s="39"/>
      <c r="C145" s="39"/>
      <c r="D145" s="40"/>
      <c r="E145" s="40"/>
      <c r="F145" s="40"/>
      <c r="G145" s="40"/>
      <c r="H145" s="40"/>
      <c r="I145" s="40"/>
      <c r="J145" s="40"/>
      <c r="K145" s="40"/>
      <c r="L145" s="39"/>
      <c r="M145" s="39"/>
      <c r="N145" s="39"/>
    </row>
    <row r="146" spans="2:14" x14ac:dyDescent="0.4">
      <c r="B146" s="1"/>
      <c r="C146" s="1"/>
      <c r="D146" s="1"/>
      <c r="E146" s="1"/>
      <c r="F146" s="1"/>
      <c r="G146" s="1"/>
      <c r="H146" s="1"/>
      <c r="I146" s="1"/>
      <c r="J146" s="1"/>
      <c r="K146" s="1"/>
      <c r="L146" s="1"/>
      <c r="M146" s="1"/>
      <c r="N146" s="1"/>
    </row>
    <row r="147" spans="2:14" x14ac:dyDescent="0.4">
      <c r="B147" s="1"/>
      <c r="C147" s="1"/>
      <c r="D147" s="1"/>
      <c r="E147" s="1"/>
      <c r="F147" s="1"/>
      <c r="G147" s="1"/>
      <c r="H147" s="1"/>
      <c r="I147" s="1"/>
      <c r="J147" s="1"/>
      <c r="K147" s="1"/>
      <c r="L147" s="1"/>
      <c r="M147" s="1"/>
      <c r="N147" s="1"/>
    </row>
    <row r="148" spans="2:14" x14ac:dyDescent="0.4">
      <c r="B148" s="1"/>
      <c r="C148" s="1"/>
      <c r="D148" s="1"/>
      <c r="E148" s="1"/>
      <c r="F148" s="1"/>
      <c r="G148" s="1"/>
      <c r="H148" s="1"/>
      <c r="I148" s="1"/>
      <c r="J148" s="1"/>
      <c r="K148" s="1"/>
      <c r="L148" s="1"/>
      <c r="M148" s="1"/>
      <c r="N148" s="1"/>
    </row>
    <row r="149" spans="2:14" x14ac:dyDescent="0.4">
      <c r="B149" s="1"/>
      <c r="C149" s="1"/>
      <c r="D149" s="1"/>
      <c r="E149" s="1"/>
      <c r="F149" s="1"/>
      <c r="G149" s="1"/>
      <c r="H149" s="1"/>
      <c r="I149" s="1"/>
      <c r="J149" s="1"/>
      <c r="K149" s="1"/>
      <c r="L149" s="1"/>
      <c r="M149" s="1"/>
      <c r="N149" s="1"/>
    </row>
    <row r="150" spans="2:14" x14ac:dyDescent="0.4">
      <c r="B150" s="1"/>
      <c r="C150" s="1"/>
      <c r="D150" s="1"/>
      <c r="E150" s="1"/>
      <c r="F150" s="1"/>
      <c r="G150" s="1"/>
      <c r="H150" s="1"/>
      <c r="I150" s="1"/>
      <c r="J150" s="1"/>
      <c r="K150" s="1"/>
      <c r="L150" s="1"/>
      <c r="M150" s="1"/>
      <c r="N150" s="1"/>
    </row>
    <row r="151" spans="2:14" x14ac:dyDescent="0.4">
      <c r="B151" s="1"/>
      <c r="C151" s="1"/>
      <c r="D151" s="1"/>
      <c r="E151" s="1"/>
      <c r="F151" s="1"/>
      <c r="G151" s="1"/>
      <c r="H151" s="1"/>
      <c r="I151" s="1"/>
      <c r="J151" s="1"/>
      <c r="K151" s="1"/>
      <c r="L151" s="1"/>
      <c r="M151" s="1"/>
      <c r="N151" s="1"/>
    </row>
    <row r="152" spans="2:14" x14ac:dyDescent="0.4">
      <c r="B152" s="1"/>
      <c r="C152" s="1"/>
      <c r="D152" s="1"/>
      <c r="E152" s="1"/>
      <c r="F152" s="1"/>
      <c r="G152" s="1"/>
      <c r="H152" s="1"/>
      <c r="I152" s="1"/>
      <c r="J152" s="1"/>
      <c r="K152" s="1"/>
      <c r="L152" s="1"/>
      <c r="M152" s="1"/>
      <c r="N152" s="1"/>
    </row>
    <row r="153" spans="2:14" x14ac:dyDescent="0.4">
      <c r="B153" s="1"/>
      <c r="C153" s="1"/>
      <c r="D153" s="1"/>
      <c r="E153" s="1"/>
      <c r="F153" s="1"/>
      <c r="G153" s="1"/>
      <c r="H153" s="1"/>
      <c r="I153" s="1"/>
      <c r="J153" s="1"/>
      <c r="K153" s="1"/>
      <c r="L153" s="1"/>
      <c r="M153" s="1"/>
      <c r="N153" s="1"/>
    </row>
    <row r="154" spans="2:14" x14ac:dyDescent="0.4">
      <c r="B154" s="1"/>
      <c r="C154" s="1"/>
      <c r="D154" s="1"/>
      <c r="E154" s="1"/>
      <c r="F154" s="1"/>
      <c r="G154" s="1"/>
      <c r="H154" s="1"/>
      <c r="I154" s="1"/>
      <c r="J154" s="1"/>
      <c r="K154" s="1"/>
      <c r="L154" s="1"/>
      <c r="M154" s="1"/>
      <c r="N154" s="1"/>
    </row>
    <row r="155" spans="2:14" x14ac:dyDescent="0.4">
      <c r="B155" s="1"/>
      <c r="C155" s="1"/>
      <c r="D155" s="1"/>
      <c r="E155" s="1"/>
      <c r="F155" s="1"/>
      <c r="G155" s="1"/>
      <c r="H155" s="1"/>
      <c r="I155" s="1"/>
      <c r="J155" s="1"/>
      <c r="K155" s="1"/>
      <c r="L155" s="1"/>
      <c r="M155" s="1"/>
      <c r="N155" s="1"/>
    </row>
    <row r="156" spans="2:14" x14ac:dyDescent="0.4">
      <c r="B156" s="78"/>
      <c r="C156" s="78"/>
      <c r="D156" s="79"/>
      <c r="E156" s="79"/>
      <c r="F156" s="79"/>
      <c r="G156" s="79"/>
      <c r="H156" s="79"/>
      <c r="I156" s="79"/>
      <c r="J156" s="79"/>
      <c r="K156" s="79"/>
      <c r="L156" s="78"/>
      <c r="M156" s="78"/>
      <c r="N156" s="78"/>
    </row>
    <row r="157" spans="2:14" x14ac:dyDescent="0.4">
      <c r="B157" s="78"/>
      <c r="C157" s="78"/>
      <c r="D157" s="79"/>
      <c r="E157" s="79"/>
      <c r="F157" s="79"/>
      <c r="G157" s="79"/>
      <c r="H157" s="79"/>
      <c r="I157" s="79"/>
      <c r="J157" s="79"/>
      <c r="K157" s="79"/>
      <c r="L157" s="78"/>
      <c r="M157" s="78"/>
      <c r="N157" s="78"/>
    </row>
    <row r="158" spans="2:14" ht="22.9" x14ac:dyDescent="0.65">
      <c r="B158" s="78"/>
      <c r="C158" s="80" t="s">
        <v>25</v>
      </c>
      <c r="D158" s="79"/>
      <c r="E158" s="81"/>
      <c r="F158" s="81"/>
      <c r="G158" s="81"/>
      <c r="H158" s="81"/>
      <c r="I158" s="81"/>
      <c r="J158" s="81"/>
      <c r="K158" s="81"/>
      <c r="L158" s="78"/>
      <c r="M158" s="78"/>
      <c r="N158" s="78"/>
    </row>
    <row r="159" spans="2:14" x14ac:dyDescent="0.4">
      <c r="B159" s="78"/>
      <c r="C159" s="78"/>
      <c r="D159" s="82"/>
      <c r="E159" s="82"/>
      <c r="F159" s="82"/>
      <c r="G159" s="82"/>
      <c r="H159" s="82"/>
      <c r="I159" s="82"/>
      <c r="J159" s="82"/>
      <c r="K159" s="82"/>
      <c r="L159" s="78"/>
      <c r="M159" s="78"/>
      <c r="N159" s="78"/>
    </row>
    <row r="160" spans="2:14" x14ac:dyDescent="0.4">
      <c r="B160" s="78"/>
      <c r="C160" s="78" t="s">
        <v>26</v>
      </c>
      <c r="D160" s="79">
        <f>HLOOKUP(D$6,Controls,MATCH($C160,ControlsVariable,0)+MATCH($C$18,$C$338:$C$339,0))</f>
        <v>123715</v>
      </c>
      <c r="E160" s="79">
        <f>HLOOKUP(E$6,Controls,MATCH($C160,ControlsVariable,0)+MATCH($C$18,$C$338:$C$339,0))</f>
        <v>148995</v>
      </c>
      <c r="F160" s="79">
        <f>HLOOKUP(F$6,Controls,MATCH($C160,ControlsVariable,0)+MATCH($C$18,$C$338:$C$339,0))</f>
        <v>140990</v>
      </c>
      <c r="G160" s="79">
        <f t="shared" ref="G160:K160" si="16">F160+G162</f>
        <v>148408.0340258177</v>
      </c>
      <c r="H160" s="79">
        <f t="shared" si="16"/>
        <v>154690.73578022962</v>
      </c>
      <c r="I160" s="79">
        <f t="shared" si="16"/>
        <v>166197.40326656995</v>
      </c>
      <c r="J160" s="79">
        <f t="shared" si="16"/>
        <v>173801.50151706592</v>
      </c>
      <c r="K160" s="79">
        <f t="shared" si="16"/>
        <v>180914.73208424187</v>
      </c>
      <c r="L160" s="78"/>
      <c r="M160" s="78"/>
      <c r="N160" s="78"/>
    </row>
    <row r="161" spans="2:14" x14ac:dyDescent="0.4">
      <c r="B161" s="78"/>
      <c r="C161" s="78" t="s">
        <v>94</v>
      </c>
      <c r="D161" s="79">
        <f>D370</f>
        <v>11200</v>
      </c>
      <c r="E161" s="79">
        <f t="shared" ref="E161:K161" si="17">E370</f>
        <v>30000</v>
      </c>
      <c r="F161" s="79">
        <f t="shared" si="17"/>
        <v>15400</v>
      </c>
      <c r="G161" s="79">
        <f t="shared" si="17"/>
        <v>15300</v>
      </c>
      <c r="H161" s="79">
        <f t="shared" si="17"/>
        <v>14200</v>
      </c>
      <c r="I161" s="79">
        <f t="shared" si="17"/>
        <v>17200</v>
      </c>
      <c r="J161" s="79">
        <f t="shared" si="17"/>
        <v>18100</v>
      </c>
      <c r="K161" s="79">
        <f t="shared" si="17"/>
        <v>19000</v>
      </c>
      <c r="L161" s="78"/>
      <c r="M161" s="78"/>
      <c r="N161" s="78"/>
    </row>
    <row r="162" spans="2:14" x14ac:dyDescent="0.4">
      <c r="B162" s="78"/>
      <c r="C162" s="78" t="s">
        <v>27</v>
      </c>
      <c r="D162" s="79"/>
      <c r="E162" s="79">
        <f>HLOOKUP(E$6,Controls,MATCH($C160,ControlsVariable,0)+MATCH($C$18,$C$338:$C$339,0))-HLOOKUP(E$6-1,Controls,MATCH($C160,ControlsVariable,0)+MATCH($C$18,$C$338:$C$339,0))</f>
        <v>25280</v>
      </c>
      <c r="F162" s="79">
        <f>HLOOKUP(F$6,Controls,MATCH($C160,ControlsVariable,0)+MATCH($C$18,$C$338:$C$339,0))-HLOOKUP(F$6-1,Controls,MATCH($C160,ControlsVariable,0)+MATCH($C$18,$C$338:$C$339,0))</f>
        <v>-8005</v>
      </c>
      <c r="G162" s="79">
        <f t="shared" ref="G162:K162" si="18">SUM(G163:G168)</f>
        <v>7418.0340258177139</v>
      </c>
      <c r="H162" s="79">
        <f t="shared" si="18"/>
        <v>6282.7017544119008</v>
      </c>
      <c r="I162" s="79">
        <f t="shared" si="18"/>
        <v>11506.667486340337</v>
      </c>
      <c r="J162" s="79">
        <f t="shared" si="18"/>
        <v>7604.0982504959538</v>
      </c>
      <c r="K162" s="79">
        <f t="shared" si="18"/>
        <v>7113.230567175955</v>
      </c>
      <c r="L162" s="78"/>
      <c r="M162" s="78"/>
      <c r="N162" s="78"/>
    </row>
    <row r="163" spans="2:14" x14ac:dyDescent="0.4">
      <c r="B163" s="78"/>
      <c r="C163" s="78" t="s">
        <v>28</v>
      </c>
      <c r="D163" s="79"/>
      <c r="E163" s="79"/>
      <c r="F163" s="79"/>
      <c r="G163" s="79">
        <f>HLOOKUP(G$6,Controls,MATCH($C160,ControlsVariable,0)+MATCH($C$18,$C$338:$C$339,0))-HLOOKUP(G$6-1,Controls,MATCH($C160,ControlsVariable,0)+MATCH($C$18,$C$338:$C$339,0))</f>
        <v>6300</v>
      </c>
      <c r="H163" s="79">
        <f>HLOOKUP(H$6,Controls,MATCH($C160,ControlsVariable,0)+MATCH($C$18,$C$338:$C$339,0))-HLOOKUP(H$6-1,Controls,MATCH($C160,ControlsVariable,0)+MATCH($C$18,$C$338:$C$339,0))</f>
        <v>5580</v>
      </c>
      <c r="I163" s="79">
        <f>HLOOKUP(I$6,Controls,MATCH($C160,ControlsVariable,0)+MATCH($C$18,$C$338:$C$339,0))-HLOOKUP(I$6-1,Controls,MATCH($C160,ControlsVariable,0)+MATCH($C$18,$C$338:$C$339,0))</f>
        <v>10770</v>
      </c>
      <c r="J163" s="79">
        <f>HLOOKUP(J$6,Controls,MATCH($C160,ControlsVariable,0)+MATCH($C$18,$C$338:$C$339,0))-HLOOKUP(J$6-1,Controls,MATCH($C160,ControlsVariable,0)+MATCH($C$18,$C$338:$C$339,0))</f>
        <v>7575</v>
      </c>
      <c r="K163" s="79">
        <f>HLOOKUP(K$6,Controls,MATCH($C160,ControlsVariable,0)+MATCH($C$18,$C$338:$C$339,0))-HLOOKUP(K$6-1,Controls,MATCH($C160,ControlsVariable,0)+MATCH($C$18,$C$338:$C$339,0))</f>
        <v>6965</v>
      </c>
      <c r="L163" s="78"/>
      <c r="M163" s="78"/>
      <c r="N163" s="78"/>
    </row>
    <row r="164" spans="2:14" x14ac:dyDescent="0.4">
      <c r="B164" s="78"/>
      <c r="C164" s="78" t="s">
        <v>29</v>
      </c>
      <c r="D164" s="78"/>
      <c r="E164" s="79"/>
      <c r="F164" s="79"/>
      <c r="G164" s="79">
        <f>G42</f>
        <v>0</v>
      </c>
      <c r="H164" s="79">
        <f>H42</f>
        <v>0</v>
      </c>
      <c r="I164" s="79">
        <f>I42</f>
        <v>0</v>
      </c>
      <c r="J164" s="79">
        <f>J42</f>
        <v>0</v>
      </c>
      <c r="K164" s="79">
        <f>K42</f>
        <v>0</v>
      </c>
      <c r="L164" s="78"/>
      <c r="M164" s="79">
        <f>SUM(G164:K164)</f>
        <v>0</v>
      </c>
      <c r="N164" s="78"/>
    </row>
    <row r="165" spans="2:14" x14ac:dyDescent="0.4">
      <c r="B165" s="78"/>
      <c r="C165" s="78" t="s">
        <v>106</v>
      </c>
      <c r="D165" s="78"/>
      <c r="E165" s="79"/>
      <c r="F165" s="79"/>
      <c r="G165" s="79">
        <f>G46</f>
        <v>160</v>
      </c>
      <c r="H165" s="79">
        <f>H46</f>
        <v>160</v>
      </c>
      <c r="I165" s="79">
        <f>I46</f>
        <v>160</v>
      </c>
      <c r="J165" s="79">
        <f>J46</f>
        <v>160</v>
      </c>
      <c r="K165" s="79">
        <f>K46</f>
        <v>160</v>
      </c>
      <c r="L165" s="78"/>
      <c r="M165" s="79">
        <f>SUM(G165:K165)</f>
        <v>800</v>
      </c>
      <c r="N165" s="78"/>
    </row>
    <row r="166" spans="2:14" x14ac:dyDescent="0.4">
      <c r="B166" s="78"/>
      <c r="C166" s="83" t="s">
        <v>131</v>
      </c>
      <c r="D166" s="78"/>
      <c r="E166" s="79"/>
      <c r="F166" s="79"/>
      <c r="G166" s="79">
        <v>484.5</v>
      </c>
      <c r="H166" s="79">
        <f>G166</f>
        <v>484.5</v>
      </c>
      <c r="I166" s="79">
        <v>646</v>
      </c>
      <c r="J166" s="79">
        <v>0</v>
      </c>
      <c r="K166" s="79">
        <v>0</v>
      </c>
      <c r="L166" s="79"/>
      <c r="M166" s="79">
        <f>SUM(G166:K166)</f>
        <v>1615</v>
      </c>
      <c r="N166" s="78"/>
    </row>
    <row r="167" spans="2:14" x14ac:dyDescent="0.4">
      <c r="B167" s="78"/>
      <c r="C167" s="78" t="s">
        <v>132</v>
      </c>
      <c r="D167" s="78"/>
      <c r="E167" s="79"/>
      <c r="F167" s="79"/>
      <c r="G167" s="79">
        <f t="shared" ref="G167:K167" si="19">SUM(G308:G313)</f>
        <v>0</v>
      </c>
      <c r="H167" s="79">
        <f t="shared" si="19"/>
        <v>0</v>
      </c>
      <c r="I167" s="79">
        <f t="shared" si="19"/>
        <v>0</v>
      </c>
      <c r="J167" s="79">
        <f t="shared" si="19"/>
        <v>0</v>
      </c>
      <c r="K167" s="79">
        <f t="shared" si="19"/>
        <v>0</v>
      </c>
      <c r="L167" s="78"/>
      <c r="M167" s="78"/>
      <c r="N167" s="78"/>
    </row>
    <row r="168" spans="2:14" x14ac:dyDescent="0.4">
      <c r="B168" s="78"/>
      <c r="C168" s="78" t="s">
        <v>30</v>
      </c>
      <c r="D168" s="78"/>
      <c r="E168" s="79"/>
      <c r="F168" s="79"/>
      <c r="G168" s="79">
        <f>(F160+SUM(G163:G167))*(G$191/(F$191*(1+G21%))%-100)%</f>
        <v>473.53402581771371</v>
      </c>
      <c r="H168" s="79">
        <f>(G160+SUM(H163:H167))*(H$191/(G$191*(1+H21%))%-100)%</f>
        <v>58.201754411900836</v>
      </c>
      <c r="I168" s="79">
        <f>(H160+SUM(I163:I167))*(I$191/(H$191*(1+I21%))%-100)%</f>
        <v>-69.33251365966332</v>
      </c>
      <c r="J168" s="79">
        <f>(I160+SUM(J163:J167))*(J$191/(I$191*(1+J21%))%-100)%</f>
        <v>-130.90174950404648</v>
      </c>
      <c r="K168" s="79">
        <f>(J160+SUM(K163:K167))*(K$191/(J$191*(1+K21%))%-100)%</f>
        <v>-11.769432824045394</v>
      </c>
      <c r="L168" s="78"/>
      <c r="M168" s="78"/>
      <c r="N168" s="78"/>
    </row>
    <row r="169" spans="2:14" x14ac:dyDescent="0.4">
      <c r="B169" s="78"/>
      <c r="C169" s="78"/>
      <c r="D169" s="78"/>
      <c r="E169" s="79"/>
      <c r="F169" s="79"/>
      <c r="G169" s="79"/>
      <c r="H169" s="79"/>
      <c r="I169" s="79"/>
      <c r="J169" s="79"/>
      <c r="K169" s="79"/>
      <c r="L169" s="78"/>
      <c r="M169" s="78"/>
      <c r="N169" s="78"/>
    </row>
    <row r="170" spans="2:14" x14ac:dyDescent="0.4">
      <c r="B170" s="78"/>
      <c r="C170" s="78"/>
      <c r="D170" s="78"/>
      <c r="E170" s="78"/>
      <c r="F170" s="78"/>
      <c r="G170" s="78">
        <f>G171/F171</f>
        <v>1.0459333844385603</v>
      </c>
      <c r="H170" s="78">
        <f t="shared" ref="H170:K170" si="20">H171/G171</f>
        <v>1.0301753864009666</v>
      </c>
      <c r="I170" s="78">
        <f t="shared" si="20"/>
        <v>1.0351197532595635</v>
      </c>
      <c r="J170" s="78">
        <f t="shared" si="20"/>
        <v>1.0264536804274917</v>
      </c>
      <c r="K170" s="78">
        <f t="shared" si="20"/>
        <v>1.0216855983232678</v>
      </c>
      <c r="L170" s="78"/>
      <c r="M170" s="78"/>
      <c r="N170" s="78"/>
    </row>
    <row r="171" spans="2:14" x14ac:dyDescent="0.4">
      <c r="B171" s="78"/>
      <c r="C171" s="78" t="s">
        <v>31</v>
      </c>
      <c r="D171" s="79">
        <f>HLOOKUP(D$6,Controls,MATCH($C171,ControlsVariable,0)+MATCH($C$18,$C$321:$C$322,0),FALSE)</f>
        <v>111895</v>
      </c>
      <c r="E171" s="79">
        <f>HLOOKUP(E$6,Controls,MATCH($C171,ControlsVariable,0)+MATCH($C$18,$C$321:$C$322,0),FALSE)</f>
        <v>122200</v>
      </c>
      <c r="F171" s="79">
        <f>HLOOKUP(F$6,Controls,MATCH($C171,ControlsVariable,0)+MATCH($C$18,$C$321:$C$322,0),FALSE)</f>
        <v>127795</v>
      </c>
      <c r="G171" s="79">
        <f t="shared" ref="G171:K171" si="21">F171+G172</f>
        <v>133665.05686432583</v>
      </c>
      <c r="H171" s="79">
        <f t="shared" si="21"/>
        <v>137698.45160351403</v>
      </c>
      <c r="I171" s="79">
        <f t="shared" si="21"/>
        <v>142534.38724805339</v>
      </c>
      <c r="J171" s="79">
        <f t="shared" si="21"/>
        <v>146304.94637824176</v>
      </c>
      <c r="K171" s="79">
        <f t="shared" si="21"/>
        <v>149477.65667810754</v>
      </c>
      <c r="L171" s="78"/>
      <c r="M171" s="78"/>
      <c r="N171" s="78"/>
    </row>
    <row r="172" spans="2:14" x14ac:dyDescent="0.4">
      <c r="B172" s="78"/>
      <c r="C172" s="78" t="s">
        <v>27</v>
      </c>
      <c r="D172" s="79"/>
      <c r="E172" s="79">
        <f>HLOOKUP(E$6,Controls,MATCH($C171,ControlsVariable,0)+MATCH($C$18,$C$321:$C$322,0),FALSE)-HLOOKUP(E$6-1,Controls,MATCH($C171,ControlsVariable,0)+MATCH($C$18,$C$321:$C$322,0),FALSE)</f>
        <v>10305</v>
      </c>
      <c r="F172" s="79">
        <f>HLOOKUP(F$6,Controls,MATCH($C171,ControlsVariable,0)+MATCH($C$18,$C$321:$C$322,0),FALSE)-HLOOKUP(F$6-1,Controls,MATCH($C171,ControlsVariable,0)+MATCH($C$18,$C$321:$C$322,0),FALSE)</f>
        <v>5595</v>
      </c>
      <c r="G172" s="79">
        <f>SUM(G173:G177)</f>
        <v>5870.0568643258312</v>
      </c>
      <c r="H172" s="79">
        <f t="shared" ref="H172:K172" si="22">SUM(H173:H177)</f>
        <v>4033.3947391881939</v>
      </c>
      <c r="I172" s="79">
        <f t="shared" si="22"/>
        <v>4835.9356445393678</v>
      </c>
      <c r="J172" s="79">
        <f t="shared" si="22"/>
        <v>3770.5591301883551</v>
      </c>
      <c r="K172" s="79">
        <f t="shared" si="22"/>
        <v>3172.7102998657665</v>
      </c>
      <c r="L172" s="78"/>
      <c r="M172" s="78"/>
      <c r="N172" s="78"/>
    </row>
    <row r="173" spans="2:14" x14ac:dyDescent="0.4">
      <c r="B173" s="78"/>
      <c r="C173" s="84" t="s">
        <v>32</v>
      </c>
      <c r="D173" s="79"/>
      <c r="E173" s="79"/>
      <c r="F173" s="79"/>
      <c r="G173" s="79">
        <f>G30+G34+G38+G49</f>
        <v>2730.9882470453213</v>
      </c>
      <c r="H173" s="79">
        <f>H30+H34+H38+H49</f>
        <v>1518.9954867805184</v>
      </c>
      <c r="I173" s="79">
        <f>I30+I34+I38+I49</f>
        <v>1293.6127111852202</v>
      </c>
      <c r="J173" s="79">
        <f>J30+J34+J38+J49</f>
        <v>1288.6875170567814</v>
      </c>
      <c r="K173" s="79">
        <f>K30+K34+K38+K49</f>
        <v>1384.3851981063538</v>
      </c>
      <c r="L173" s="78"/>
      <c r="M173" s="79">
        <f>SUM(G173:K173)</f>
        <v>8216.669160174195</v>
      </c>
      <c r="N173" s="78"/>
    </row>
    <row r="174" spans="2:14" x14ac:dyDescent="0.4">
      <c r="B174" s="78"/>
      <c r="C174" s="78" t="s">
        <v>33</v>
      </c>
      <c r="D174" s="79"/>
      <c r="E174" s="79"/>
      <c r="F174" s="79"/>
      <c r="G174" s="79">
        <v>1415</v>
      </c>
      <c r="H174" s="79">
        <v>1005</v>
      </c>
      <c r="I174" s="79">
        <v>2165</v>
      </c>
      <c r="J174" s="79">
        <v>1285</v>
      </c>
      <c r="K174" s="79">
        <v>590</v>
      </c>
      <c r="L174" s="78"/>
      <c r="M174" s="79">
        <f>SUM(G174:K174)</f>
        <v>6460</v>
      </c>
      <c r="N174" s="78"/>
    </row>
    <row r="175" spans="2:14" x14ac:dyDescent="0.4">
      <c r="B175" s="78"/>
      <c r="C175" s="78" t="s">
        <v>34</v>
      </c>
      <c r="D175" s="79"/>
      <c r="E175" s="79"/>
      <c r="F175" s="79"/>
      <c r="G175" s="79">
        <v>1724.0686172805099</v>
      </c>
      <c r="H175" s="79">
        <v>1509.3992524076755</v>
      </c>
      <c r="I175" s="79">
        <v>1377.3229333541474</v>
      </c>
      <c r="J175" s="79">
        <v>1196.8716131315739</v>
      </c>
      <c r="K175" s="79">
        <v>1198.325101759413</v>
      </c>
      <c r="L175" s="78"/>
      <c r="M175" s="79">
        <f>SUM(G175:K175)</f>
        <v>7005.9875179333203</v>
      </c>
      <c r="N175" s="78"/>
    </row>
    <row r="176" spans="2:14" x14ac:dyDescent="0.4">
      <c r="B176" s="78"/>
      <c r="C176" s="78"/>
      <c r="D176" s="79"/>
      <c r="E176" s="79"/>
      <c r="F176" s="79"/>
      <c r="G176" s="79"/>
      <c r="H176" s="79"/>
      <c r="I176" s="79"/>
      <c r="J176" s="79"/>
      <c r="K176" s="79"/>
      <c r="L176" s="78"/>
      <c r="M176" s="78"/>
      <c r="N176" s="78"/>
    </row>
    <row r="177" spans="2:14" x14ac:dyDescent="0.4">
      <c r="B177" s="78"/>
      <c r="C177" s="84" t="s">
        <v>35</v>
      </c>
      <c r="D177" s="79"/>
      <c r="E177" s="79"/>
      <c r="F177" s="79"/>
      <c r="G177" s="79">
        <f>SUM(G58:G59)</f>
        <v>0</v>
      </c>
      <c r="H177" s="79">
        <f>SUM(H58:H59)</f>
        <v>0</v>
      </c>
      <c r="I177" s="79">
        <f>SUM(I58:I59)</f>
        <v>0</v>
      </c>
      <c r="J177" s="79">
        <f>SUM(J58:J59)</f>
        <v>0</v>
      </c>
      <c r="K177" s="79">
        <f>SUM(K58:K59)</f>
        <v>0</v>
      </c>
      <c r="L177" s="78"/>
      <c r="M177" s="78"/>
      <c r="N177" s="78"/>
    </row>
    <row r="178" spans="2:14" x14ac:dyDescent="0.4">
      <c r="B178" s="78"/>
      <c r="C178" s="78"/>
      <c r="D178" s="78"/>
      <c r="E178" s="78"/>
      <c r="F178" s="78"/>
      <c r="G178" s="78"/>
      <c r="H178" s="78"/>
      <c r="I178" s="78"/>
      <c r="J178" s="78"/>
      <c r="K178" s="78"/>
      <c r="L178" s="78"/>
      <c r="M178" s="78"/>
      <c r="N178" s="78"/>
    </row>
    <row r="179" spans="2:14" x14ac:dyDescent="0.4">
      <c r="B179" s="78"/>
      <c r="C179" s="78" t="s">
        <v>36</v>
      </c>
      <c r="D179" s="79">
        <f t="shared" ref="D179:K179" si="23">HLOOKUP(D$6,Controls,MATCH($C179,ControlsVariable,0)+MATCH($C$18,$C$338:$C$339,0))</f>
        <v>3486</v>
      </c>
      <c r="E179" s="79">
        <f t="shared" si="23"/>
        <v>3130</v>
      </c>
      <c r="F179" s="79">
        <f t="shared" si="23"/>
        <v>3495</v>
      </c>
      <c r="G179" s="79">
        <f t="shared" si="23"/>
        <v>3300</v>
      </c>
      <c r="H179" s="79">
        <f t="shared" si="23"/>
        <v>3770</v>
      </c>
      <c r="I179" s="79">
        <f t="shared" si="23"/>
        <v>4240</v>
      </c>
      <c r="J179" s="79">
        <f t="shared" si="23"/>
        <v>4820</v>
      </c>
      <c r="K179" s="79">
        <f t="shared" si="23"/>
        <v>5360</v>
      </c>
      <c r="L179" s="78"/>
      <c r="M179" s="78"/>
      <c r="N179" s="78"/>
    </row>
    <row r="180" spans="2:14" x14ac:dyDescent="0.4">
      <c r="B180" s="78"/>
      <c r="C180" s="78"/>
      <c r="D180" s="79"/>
      <c r="E180" s="79"/>
      <c r="F180" s="79"/>
      <c r="G180" s="79"/>
      <c r="H180" s="79"/>
      <c r="I180" s="79"/>
      <c r="J180" s="79"/>
      <c r="K180" s="79"/>
      <c r="L180" s="78"/>
      <c r="M180" s="78"/>
      <c r="N180" s="78"/>
    </row>
    <row r="181" spans="2:14" x14ac:dyDescent="0.4">
      <c r="B181" s="78"/>
      <c r="C181" s="78" t="s">
        <v>37</v>
      </c>
      <c r="D181" s="79">
        <v>220724</v>
      </c>
      <c r="E181" s="79">
        <v>217200</v>
      </c>
      <c r="F181" s="79">
        <v>211200</v>
      </c>
      <c r="G181" s="79">
        <f t="shared" ref="G181:K181" si="24">G185+G99</f>
        <v>211413.35687544168</v>
      </c>
      <c r="H181" s="79">
        <f t="shared" si="24"/>
        <v>211665.96902633383</v>
      </c>
      <c r="I181" s="79">
        <f t="shared" si="24"/>
        <v>210277.1831750471</v>
      </c>
      <c r="J181" s="79">
        <f t="shared" si="24"/>
        <v>205801.3724560088</v>
      </c>
      <c r="K181" s="79">
        <f t="shared" si="24"/>
        <v>194622.43073289981</v>
      </c>
      <c r="L181" s="78"/>
      <c r="M181" s="78"/>
      <c r="N181" s="78"/>
    </row>
    <row r="182" spans="2:14" x14ac:dyDescent="0.4">
      <c r="B182" s="78"/>
      <c r="C182" s="78" t="s">
        <v>22</v>
      </c>
      <c r="D182" s="82">
        <f t="shared" ref="D182:I182" si="25">D181/D$191%</f>
        <v>75.932369478768223</v>
      </c>
      <c r="E182" s="82">
        <f t="shared" si="25"/>
        <v>69.139953570451198</v>
      </c>
      <c r="F182" s="82">
        <f t="shared" si="25"/>
        <v>63.863913058526371</v>
      </c>
      <c r="G182" s="82">
        <f t="shared" si="25"/>
        <v>60.496841608834352</v>
      </c>
      <c r="H182" s="82">
        <f t="shared" si="25"/>
        <v>57.657965409741713</v>
      </c>
      <c r="I182" s="82">
        <f t="shared" si="25"/>
        <v>54.638875552775943</v>
      </c>
      <c r="J182" s="82">
        <f t="shared" ref="J182:K182" si="26">J181/J$191%</f>
        <v>51.198560389506824</v>
      </c>
      <c r="K182" s="82">
        <f t="shared" si="26"/>
        <v>46.314390370640737</v>
      </c>
      <c r="L182" s="78"/>
      <c r="M182" s="78"/>
      <c r="N182" s="78"/>
    </row>
    <row r="183" spans="2:14" x14ac:dyDescent="0.4">
      <c r="B183" s="78"/>
      <c r="C183" s="78" t="s">
        <v>38</v>
      </c>
      <c r="D183" s="79"/>
      <c r="E183" s="82">
        <f t="shared" ref="E183:H183" si="27">ROUND(E182-D182,8)</f>
        <v>-6.7924159099999999</v>
      </c>
      <c r="F183" s="82">
        <f t="shared" si="27"/>
        <v>-5.2760405099999996</v>
      </c>
      <c r="G183" s="82">
        <f t="shared" si="27"/>
        <v>-3.3670714500000001</v>
      </c>
      <c r="H183" s="82">
        <f t="shared" si="27"/>
        <v>-2.8388762000000001</v>
      </c>
      <c r="I183" s="82">
        <f>ROUND(I182-H182,8)</f>
        <v>-3.0190898599999998</v>
      </c>
      <c r="J183" s="82">
        <f>ROUND(J182-I182,8)</f>
        <v>-3.4403151599999999</v>
      </c>
      <c r="K183" s="82">
        <f>ROUND(K182-J182,8)</f>
        <v>-4.88417002</v>
      </c>
      <c r="L183" s="78"/>
      <c r="M183" s="78"/>
      <c r="N183" s="78"/>
    </row>
    <row r="184" spans="2:14" x14ac:dyDescent="0.4">
      <c r="B184" s="78"/>
      <c r="C184" s="78"/>
      <c r="D184" s="78"/>
      <c r="E184" s="78"/>
      <c r="F184" s="78"/>
      <c r="G184" s="78"/>
      <c r="H184" s="78"/>
      <c r="I184" s="78"/>
      <c r="J184" s="78"/>
      <c r="K184" s="78"/>
      <c r="L184" s="78"/>
      <c r="M184" s="78"/>
      <c r="N184" s="78"/>
    </row>
    <row r="185" spans="2:14" x14ac:dyDescent="0.4">
      <c r="B185" s="78"/>
      <c r="C185" s="78" t="s">
        <v>39</v>
      </c>
      <c r="D185" s="79">
        <f>D181-D99</f>
        <v>41479</v>
      </c>
      <c r="E185" s="79">
        <f t="shared" ref="E185:F185" si="28">E181-E99</f>
        <v>50875.856270000018</v>
      </c>
      <c r="F185" s="79">
        <f t="shared" si="28"/>
        <v>56630.373929999972</v>
      </c>
      <c r="G185" s="79">
        <f>17.7506401064907%*G191</f>
        <v>62031.707966933536</v>
      </c>
      <c r="H185" s="79">
        <f>18.790639669754%*H191</f>
        <v>68981.604294541248</v>
      </c>
      <c r="I185" s="79">
        <f>20.8473525917589%*I191</f>
        <v>80230.834461771112</v>
      </c>
      <c r="J185" s="79">
        <f>22.7311083664029%*J191</f>
        <v>91371.578881556969</v>
      </c>
      <c r="K185" s="79">
        <f>23.5394940708263%*K191</f>
        <v>98917.712564582282</v>
      </c>
      <c r="L185" s="78"/>
      <c r="M185" s="78"/>
      <c r="N185" s="78"/>
    </row>
    <row r="186" spans="2:14" x14ac:dyDescent="0.4">
      <c r="B186" s="78"/>
      <c r="C186" s="78" t="s">
        <v>22</v>
      </c>
      <c r="D186" s="82">
        <f>D185/D$191%</f>
        <v>14.269398677125402</v>
      </c>
      <c r="E186" s="82">
        <f t="shared" ref="E186:I186" si="29">E185/E$191%</f>
        <v>16.19500156705686</v>
      </c>
      <c r="F186" s="82">
        <f t="shared" si="29"/>
        <v>17.124229531900362</v>
      </c>
      <c r="G186" s="82">
        <f t="shared" si="29"/>
        <v>17.7506401064907</v>
      </c>
      <c r="H186" s="82">
        <f t="shared" si="29"/>
        <v>18.790639669754</v>
      </c>
      <c r="I186" s="82">
        <f t="shared" si="29"/>
        <v>20.847352591758902</v>
      </c>
      <c r="J186" s="82">
        <f t="shared" ref="J186:K186" si="30">J185/J$191%</f>
        <v>22.7311083664029</v>
      </c>
      <c r="K186" s="82">
        <f t="shared" si="30"/>
        <v>23.539494070826301</v>
      </c>
      <c r="L186" s="78"/>
      <c r="M186" s="78"/>
      <c r="N186" s="78"/>
    </row>
    <row r="187" spans="2:14" x14ac:dyDescent="0.4">
      <c r="B187" s="78"/>
      <c r="C187" s="78"/>
      <c r="D187" s="82"/>
      <c r="E187" s="82"/>
      <c r="F187" s="82"/>
      <c r="G187" s="82"/>
      <c r="H187" s="82"/>
      <c r="I187" s="82"/>
      <c r="J187" s="82"/>
      <c r="K187" s="82"/>
      <c r="L187" s="78"/>
      <c r="M187" s="78"/>
      <c r="N187" s="78"/>
    </row>
    <row r="188" spans="2:14" x14ac:dyDescent="0.4">
      <c r="B188" s="78"/>
      <c r="C188" s="78"/>
      <c r="D188" s="79"/>
      <c r="E188" s="82"/>
      <c r="F188" s="82"/>
      <c r="G188" s="82"/>
      <c r="H188" s="82"/>
      <c r="I188" s="82"/>
      <c r="J188" s="82"/>
      <c r="K188" s="82"/>
      <c r="L188" s="78"/>
      <c r="M188" s="78"/>
      <c r="N188" s="78"/>
    </row>
    <row r="189" spans="2:14" x14ac:dyDescent="0.4">
      <c r="B189" s="78"/>
      <c r="C189" s="78"/>
      <c r="D189" s="82"/>
      <c r="E189" s="82"/>
      <c r="F189" s="82"/>
      <c r="G189" s="82"/>
      <c r="H189" s="82"/>
      <c r="I189" s="82"/>
      <c r="J189" s="82"/>
      <c r="K189" s="82"/>
      <c r="L189" s="78"/>
      <c r="M189" s="78"/>
      <c r="N189" s="78"/>
    </row>
    <row r="190" spans="2:14" x14ac:dyDescent="0.4">
      <c r="B190" s="78"/>
      <c r="C190" s="78"/>
      <c r="D190" s="79"/>
      <c r="E190" s="79"/>
      <c r="F190" s="79"/>
      <c r="G190" s="79"/>
      <c r="H190" s="79"/>
      <c r="I190" s="79"/>
      <c r="J190" s="79"/>
      <c r="K190" s="79"/>
      <c r="L190" s="78"/>
      <c r="M190" s="78"/>
      <c r="N190" s="78"/>
    </row>
    <row r="191" spans="2:14" x14ac:dyDescent="0.4">
      <c r="B191" s="78"/>
      <c r="C191" s="78" t="s">
        <v>40</v>
      </c>
      <c r="D191" s="79">
        <v>290684.98917542351</v>
      </c>
      <c r="E191" s="79">
        <f t="shared" ref="E191:K191" si="31">SUM(E192:E195)</f>
        <v>314145.42357000685</v>
      </c>
      <c r="F191" s="79">
        <f t="shared" si="31"/>
        <v>330703.19353349274</v>
      </c>
      <c r="G191" s="79">
        <f t="shared" si="31"/>
        <v>349461.80867162655</v>
      </c>
      <c r="H191" s="79">
        <f t="shared" si="31"/>
        <v>367106.2055730662</v>
      </c>
      <c r="I191" s="79">
        <f t="shared" si="31"/>
        <v>384849.03111144627</v>
      </c>
      <c r="J191" s="79">
        <f t="shared" si="31"/>
        <v>401967.10784506338</v>
      </c>
      <c r="K191" s="79">
        <f t="shared" si="31"/>
        <v>420220.2148735901</v>
      </c>
      <c r="L191" s="78"/>
      <c r="M191" s="78"/>
      <c r="N191" s="78"/>
    </row>
    <row r="192" spans="2:14" x14ac:dyDescent="0.4">
      <c r="B192" s="78"/>
      <c r="C192" s="78" t="s">
        <v>41</v>
      </c>
      <c r="D192" s="78"/>
      <c r="E192" s="79">
        <f t="shared" ref="E192:K192" si="32">D191*(1+E21%)</f>
        <v>314145.42357000685</v>
      </c>
      <c r="F192" s="79">
        <f t="shared" si="32"/>
        <v>330703.19353349274</v>
      </c>
      <c r="G192" s="79">
        <f t="shared" si="32"/>
        <v>348346.76083600178</v>
      </c>
      <c r="H192" s="79">
        <f t="shared" si="32"/>
        <v>366968.0833700003</v>
      </c>
      <c r="I192" s="79">
        <f t="shared" si="32"/>
        <v>385009.57844962366</v>
      </c>
      <c r="J192" s="79">
        <f t="shared" si="32"/>
        <v>402269.85665448511</v>
      </c>
      <c r="K192" s="79">
        <f t="shared" si="32"/>
        <v>420247.55235757102</v>
      </c>
      <c r="L192" s="78"/>
      <c r="M192" s="78"/>
      <c r="N192" s="78"/>
    </row>
    <row r="193" spans="2:14" x14ac:dyDescent="0.4">
      <c r="B193" s="78"/>
      <c r="C193" s="78" t="s">
        <v>88</v>
      </c>
      <c r="D193" s="78"/>
      <c r="E193" s="79"/>
      <c r="F193" s="79"/>
      <c r="G193" s="79">
        <f>0.5*(G30+G34+G38)-0.5*(F30+F34+F38)/3</f>
        <v>817.21255548551528</v>
      </c>
      <c r="H193" s="79">
        <f>0.5*(H30+H34+H38)-0.5*(F30+F34+F38)/3-0.5*(G30+G34+G38)/3</f>
        <v>-59.671552679515372</v>
      </c>
      <c r="I193" s="79">
        <f>0.5*(I30+I34+I38)-0.5*(F30+F34+F38)/3-0.5*(G30+G34+G38)/3-0.5*(H30+H34+H38)/3</f>
        <v>-259.03962089544143</v>
      </c>
      <c r="J193" s="79">
        <f>0.5*(J30+J34+J38)-0.5*(G30+G34+G38)/3-0.5*(H30+H34+H38)/3-0.5*(I30+I34+I38)/3</f>
        <v>-290.64394088103307</v>
      </c>
      <c r="K193" s="79">
        <f>0.5*(K30+K34+K38)-0.5*(H30+H34+H38)/3-0.5*(I30+I34+I38)/3-0.5*(J30+J34+J38)/3</f>
        <v>-15.972917747049166</v>
      </c>
      <c r="L193" s="78"/>
      <c r="M193" s="78"/>
      <c r="N193" s="78"/>
    </row>
    <row r="194" spans="2:14" x14ac:dyDescent="0.4">
      <c r="B194" s="78"/>
      <c r="C194" s="78" t="s">
        <v>42</v>
      </c>
      <c r="D194" s="78"/>
      <c r="E194" s="79"/>
      <c r="F194" s="79"/>
      <c r="G194" s="79">
        <f>0.3*IF($C42="Yes, I want bands to rise if wages rise",HLOOKUP(G$6,Controls,MATCH($C41,ControlsVariable,0)+MATCH("No, I don't want bands to rise if wages rise",$C$362:$C$363,0)),0)-0.3*IF($C42="Yes, I want bands to rise if wages rise",HLOOKUP(F$6,Controls,MATCH($C41,ControlsVariable,0)+MATCH("No, I don't want bands to rise if wages rise",$C$362:$C$363,0)),0)/3</f>
        <v>297.83528013928316</v>
      </c>
      <c r="H194" s="79">
        <f>0.3*IF($C42="Yes, I want bands to rise if wages rise",HLOOKUP(H$6,Controls,MATCH($C41,ControlsVariable,0)+MATCH("No, I don't want bands to rise if wages rise",$C$362:$C$363,0)),0)-0.3*IF($C42="Yes, I want bands to rise if wages rise",HLOOKUP(F$6,Controls,MATCH($C41,ControlsVariable,0)+MATCH("No, I don't want bands to rise if wages rise",$C$362:$C$363,0)),0)/3-0.3*IF($C42="Yes, I want bands to rise if wages rise",HLOOKUP(G$6,Controls,MATCH($C41,ControlsVariable,0)+MATCH("No, I don't want bands to rise if wages rise",$C$362:$C$363,0)),0)/3</f>
        <v>197.79375574539796</v>
      </c>
      <c r="I194" s="79">
        <f>0.3*IF($C42="Yes, I want bands to rise if wages rise",HLOOKUP(I$6,Controls,MATCH($C41,ControlsVariable,0)+MATCH("No, I don't want bands to rise if wages rise",$C$362:$C$363,0)),0)-0.3*IF($C42="Yes, I want bands to rise if wages rise",HLOOKUP(F$6,Controls,MATCH($C41,ControlsVariable,0)+MATCH("No, I don't want bands to rise if wages rise",$C$362:$C$363,0)),0)/3-0.3*IF($C42="Yes, I want bands to rise if wages rise",HLOOKUP(G$6,Controls,MATCH($C41,ControlsVariable,0)+MATCH("No, I don't want bands to rise if wages rise",$C$362:$C$363,0)),0)/3-0.3*IF($C42="Yes, I want bands to rise if wages rise",HLOOKUP(H$6,Controls,MATCH($C41,ControlsVariable,0)+MATCH("No, I don't want bands to rise if wages rise",$C$362:$C$363,0)),0)/3</f>
        <v>98.492282718045871</v>
      </c>
      <c r="J194" s="79">
        <f>0.3*IF($C42="Yes, I want bands to rise if wages rise",HLOOKUP(J$6,Controls,MATCH($C41,ControlsVariable,0)+MATCH("No, I don't want bands to rise if wages rise",$C$362:$C$363,0)),0)-0.3*IF($C42="Yes, I want bands to rise if wages rise",HLOOKUP(G$6,Controls,MATCH($C41,ControlsVariable,0)+MATCH("No, I don't want bands to rise if wages rise",$C$362:$C$363,0)),0)/3-0.3*IF($C42="Yes, I want bands to rise if wages rise",HLOOKUP(H$6,Controls,MATCH($C41,ControlsVariable,0)+MATCH("No, I don't want bands to rise if wages rise",$C$362:$C$363,0)),0)/3-0.3*IF($C42="Yes, I want bands to rise if wages rise",HLOOKUP(I$6,Controls,MATCH($C41,ControlsVariable,0)+MATCH("No, I don't want bands to rise if wages rise",$C$362:$C$363,0)),0)/3</f>
        <v>-12.104868540711948</v>
      </c>
      <c r="K194" s="79">
        <f>0.3*IF($C42="Yes, I want bands to rise if wages rise",HLOOKUP(K$6,Controls,MATCH($C41,ControlsVariable,0)+MATCH("No, I don't want bands to rise if wages rise",$C$362:$C$363,0)),0)-0.3*IF($C42="Yes, I want bands to rise if wages rise",HLOOKUP(H$6,Controls,MATCH($C41,ControlsVariable,0)+MATCH("No, I don't want bands to rise if wages rise",$C$362:$C$363,0)),0)/3-0.3*IF($C42="Yes, I want bands to rise if wages rise",HLOOKUP(I$6,Controls,MATCH($C41,ControlsVariable,0)+MATCH("No, I don't want bands to rise if wages rise",$C$362:$C$363,0)),0)/3-0.3*IF($C42="Yes, I want bands to rise if wages rise",HLOOKUP(J$6,Controls,MATCH($C41,ControlsVariable,0)+MATCH("No, I don't want bands to rise if wages rise",$C$362:$C$363,0)),0)/3</f>
        <v>-11.364566233894976</v>
      </c>
      <c r="L194" s="78"/>
      <c r="M194" s="78"/>
      <c r="N194" s="78"/>
    </row>
    <row r="195" spans="2:14" x14ac:dyDescent="0.4">
      <c r="B195" s="78"/>
      <c r="C195" s="78" t="s">
        <v>43</v>
      </c>
      <c r="D195" s="78"/>
      <c r="E195" s="79"/>
      <c r="F195" s="79"/>
      <c r="G195" s="79">
        <f>(0.5*G58+1.1*G59-0.3*G60)-(0.5*F58+1.1*F59-0.3*F60)/3</f>
        <v>0</v>
      </c>
      <c r="H195" s="79">
        <f>(0.5*H58+1.1*H59-0.3*H60)-(0.5*F58+1.1*F59-0.3*F60)/3-(0.5*G58+1.1*G59-0.3*G60)/3</f>
        <v>0</v>
      </c>
      <c r="I195" s="79">
        <f>(0.5*I58+1.1*I59-0.3*I60)-(0.5*F58+1.1*F59-0.3*F60)/3-(0.5*G58+1.1*G59-0.3*G60)/3-(0.5*H58+1.1*H59-0.3*H60)/3</f>
        <v>0</v>
      </c>
      <c r="J195" s="79">
        <f>(0.5*J58+1.1*J59-0.3*J60)-(0.5*G58+1.1*G59-0.3*G60)/3-(0.5*H58+1.1*H59-0.3*H60)/3-(0.5*I58+1.1*I59-0.3*I60)/3</f>
        <v>0</v>
      </c>
      <c r="K195" s="79">
        <f>(0.5*K58+1.1*K59-0.3*K60)-(0.5*H58+1.1*H59-0.3*H60)/3-(0.5*I58+1.1*I59-0.3*I60)/3-(0.5*J58+1.1*J59-0.3*J60)/3</f>
        <v>0</v>
      </c>
      <c r="L195" s="78"/>
      <c r="M195" s="78"/>
      <c r="N195" s="78"/>
    </row>
    <row r="196" spans="2:14" x14ac:dyDescent="0.4">
      <c r="B196" s="78"/>
      <c r="C196" s="78" t="s">
        <v>6</v>
      </c>
      <c r="D196" s="79"/>
      <c r="E196" s="82">
        <f t="shared" ref="E196:K196" si="33">E191/D191%-100</f>
        <v>8.0707416165976724</v>
      </c>
      <c r="F196" s="82">
        <f t="shared" si="33"/>
        <v>5.2707340999338186</v>
      </c>
      <c r="G196" s="82">
        <f t="shared" si="33"/>
        <v>5.6723416964021567</v>
      </c>
      <c r="H196" s="82">
        <f t="shared" si="33"/>
        <v>5.0490200827694025</v>
      </c>
      <c r="I196" s="82">
        <f t="shared" si="33"/>
        <v>4.8331587069422852</v>
      </c>
      <c r="J196" s="82">
        <f t="shared" si="33"/>
        <v>4.4479978770324635</v>
      </c>
      <c r="K196" s="82">
        <f t="shared" si="33"/>
        <v>4.5409454336652573</v>
      </c>
      <c r="L196" s="78"/>
      <c r="M196" s="78"/>
      <c r="N196" s="78"/>
    </row>
    <row r="197" spans="2:14" x14ac:dyDescent="0.4">
      <c r="B197" s="78"/>
      <c r="C197" s="78"/>
      <c r="D197" s="79"/>
      <c r="E197" s="79"/>
      <c r="F197" s="82">
        <f>F192/E192*100-100</f>
        <v>5.2707340999338186</v>
      </c>
      <c r="G197" s="82">
        <f t="shared" ref="G197:K197" si="34">G192/F192*100-100</f>
        <v>5.3351668951216595</v>
      </c>
      <c r="H197" s="82">
        <f t="shared" si="34"/>
        <v>5.345628157789946</v>
      </c>
      <c r="I197" s="82">
        <f t="shared" si="34"/>
        <v>4.9163662719497978</v>
      </c>
      <c r="J197" s="82">
        <f t="shared" si="34"/>
        <v>4.4830776092288431</v>
      </c>
      <c r="K197" s="82">
        <f t="shared" si="34"/>
        <v>4.4690635914406158</v>
      </c>
      <c r="L197" s="78"/>
      <c r="M197" s="78"/>
      <c r="N197" s="78"/>
    </row>
    <row r="198" spans="2:14" x14ac:dyDescent="0.4">
      <c r="B198" s="78"/>
      <c r="C198" s="78"/>
      <c r="D198" s="79"/>
      <c r="E198" s="79"/>
      <c r="F198" s="79"/>
      <c r="G198" s="79"/>
      <c r="H198" s="79"/>
      <c r="I198" s="79"/>
      <c r="J198" s="79"/>
      <c r="K198" s="79"/>
      <c r="L198" s="78"/>
      <c r="M198" s="78"/>
      <c r="N198" s="78"/>
    </row>
    <row r="199" spans="2:14" x14ac:dyDescent="0.4">
      <c r="B199" s="78"/>
      <c r="C199" s="78"/>
      <c r="D199" s="79"/>
      <c r="E199" s="79"/>
      <c r="F199" s="79"/>
      <c r="G199" s="79"/>
      <c r="H199" s="79"/>
      <c r="I199" s="79"/>
      <c r="J199" s="79"/>
      <c r="K199" s="79"/>
      <c r="L199" s="78"/>
      <c r="M199" s="78"/>
      <c r="N199" s="78"/>
    </row>
    <row r="200" spans="2:14" x14ac:dyDescent="0.4">
      <c r="B200" s="78"/>
      <c r="C200" s="78"/>
      <c r="D200" s="79"/>
      <c r="E200" s="79"/>
      <c r="F200" s="79"/>
      <c r="G200" s="79"/>
      <c r="H200" s="79"/>
      <c r="I200" s="79"/>
      <c r="J200" s="79"/>
      <c r="K200" s="79"/>
      <c r="L200" s="78"/>
      <c r="M200" s="78"/>
      <c r="N200" s="78"/>
    </row>
    <row r="201" spans="2:14" x14ac:dyDescent="0.4">
      <c r="B201" s="78"/>
      <c r="C201" s="78"/>
      <c r="D201" s="79"/>
      <c r="E201" s="79"/>
      <c r="F201" s="79"/>
      <c r="G201" s="79"/>
      <c r="H201" s="79"/>
      <c r="I201" s="79"/>
      <c r="J201" s="79"/>
      <c r="K201" s="79"/>
      <c r="L201" s="78"/>
      <c r="M201" s="78"/>
      <c r="N201" s="78"/>
    </row>
    <row r="202" spans="2:14" x14ac:dyDescent="0.4">
      <c r="B202" s="78"/>
      <c r="C202" s="78"/>
      <c r="D202" s="79"/>
      <c r="E202" s="79"/>
      <c r="F202" s="79"/>
      <c r="G202" s="79"/>
      <c r="H202" s="79"/>
      <c r="I202" s="79"/>
      <c r="J202" s="79"/>
      <c r="K202" s="79"/>
      <c r="L202" s="78"/>
      <c r="M202" s="78"/>
      <c r="N202" s="78"/>
    </row>
    <row r="203" spans="2:14" x14ac:dyDescent="0.4">
      <c r="B203" s="78"/>
      <c r="C203" s="78"/>
      <c r="D203" s="79"/>
      <c r="E203" s="79"/>
      <c r="F203" s="79"/>
      <c r="G203" s="79"/>
      <c r="H203" s="79"/>
      <c r="I203" s="79"/>
      <c r="J203" s="79"/>
      <c r="K203" s="79"/>
      <c r="L203" s="78"/>
      <c r="M203" s="78"/>
      <c r="N203" s="78"/>
    </row>
    <row r="204" spans="2:14" x14ac:dyDescent="0.4">
      <c r="B204" s="78"/>
      <c r="C204" s="78"/>
      <c r="D204" s="79"/>
      <c r="E204" s="79"/>
      <c r="F204" s="79"/>
      <c r="G204" s="79"/>
      <c r="H204" s="79"/>
      <c r="I204" s="79"/>
      <c r="J204" s="79"/>
      <c r="K204" s="79"/>
      <c r="L204" s="78"/>
      <c r="M204" s="78"/>
      <c r="N204" s="78"/>
    </row>
    <row r="205" spans="2:14" x14ac:dyDescent="0.4">
      <c r="B205" s="78"/>
      <c r="C205" s="78"/>
      <c r="D205" s="79"/>
      <c r="E205" s="79"/>
      <c r="F205" s="79"/>
      <c r="G205" s="79"/>
      <c r="H205" s="79"/>
      <c r="I205" s="79"/>
      <c r="J205" s="79"/>
      <c r="K205" s="79"/>
      <c r="L205" s="78"/>
      <c r="M205" s="78"/>
      <c r="N205" s="78"/>
    </row>
    <row r="206" spans="2:14" x14ac:dyDescent="0.4">
      <c r="B206" s="78"/>
      <c r="C206" s="78"/>
      <c r="D206" s="79"/>
      <c r="E206" s="79"/>
      <c r="F206" s="79"/>
      <c r="G206" s="79"/>
      <c r="H206" s="79"/>
      <c r="I206" s="79"/>
      <c r="J206" s="79"/>
      <c r="K206" s="79"/>
      <c r="L206" s="78"/>
      <c r="M206" s="78"/>
      <c r="N206" s="78"/>
    </row>
    <row r="207" spans="2:14" x14ac:dyDescent="0.4">
      <c r="B207" s="78"/>
      <c r="C207" s="78"/>
      <c r="D207" s="79"/>
      <c r="E207" s="79"/>
      <c r="F207" s="79"/>
      <c r="G207" s="79"/>
      <c r="H207" s="79"/>
      <c r="I207" s="79"/>
      <c r="J207" s="79"/>
      <c r="K207" s="79"/>
      <c r="L207" s="78"/>
      <c r="M207" s="78"/>
      <c r="N207" s="78"/>
    </row>
    <row r="208" spans="2:14" x14ac:dyDescent="0.4">
      <c r="B208" s="78"/>
      <c r="C208" s="78"/>
      <c r="D208" s="79"/>
      <c r="E208" s="79"/>
      <c r="F208" s="79"/>
      <c r="G208" s="79"/>
      <c r="H208" s="79"/>
      <c r="I208" s="79"/>
      <c r="J208" s="79"/>
      <c r="K208" s="79"/>
      <c r="L208" s="78"/>
      <c r="M208" s="78"/>
      <c r="N208" s="78"/>
    </row>
    <row r="209" spans="2:14" x14ac:dyDescent="0.4">
      <c r="B209" s="78"/>
      <c r="C209" s="78"/>
      <c r="D209" s="79"/>
      <c r="E209" s="79"/>
      <c r="F209" s="79"/>
      <c r="G209" s="79"/>
      <c r="H209" s="79"/>
      <c r="I209" s="79"/>
      <c r="J209" s="79"/>
      <c r="K209" s="79"/>
      <c r="L209" s="78"/>
      <c r="M209" s="78"/>
      <c r="N209" s="78"/>
    </row>
    <row r="210" spans="2:14" x14ac:dyDescent="0.4">
      <c r="B210" s="78"/>
      <c r="C210" s="78"/>
      <c r="D210" s="79"/>
      <c r="E210" s="79"/>
      <c r="F210" s="79"/>
      <c r="G210" s="79"/>
      <c r="H210" s="79"/>
      <c r="I210" s="79"/>
      <c r="J210" s="79"/>
      <c r="K210" s="79"/>
      <c r="L210" s="78"/>
      <c r="M210" s="78"/>
      <c r="N210" s="78"/>
    </row>
    <row r="211" spans="2:14" x14ac:dyDescent="0.4">
      <c r="B211" s="78"/>
      <c r="C211" s="78"/>
      <c r="D211" s="85"/>
      <c r="E211" s="85"/>
      <c r="F211" s="85"/>
      <c r="G211" s="85"/>
      <c r="H211" s="85"/>
      <c r="I211" s="85"/>
      <c r="J211" s="85"/>
      <c r="K211" s="85"/>
      <c r="L211" s="78"/>
      <c r="M211" s="78"/>
      <c r="N211" s="78"/>
    </row>
    <row r="212" spans="2:14" x14ac:dyDescent="0.4">
      <c r="B212" s="78"/>
      <c r="C212" s="78"/>
      <c r="D212" s="85"/>
      <c r="E212" s="85"/>
      <c r="F212" s="85"/>
      <c r="G212" s="85"/>
      <c r="H212" s="85"/>
      <c r="I212" s="85"/>
      <c r="J212" s="85"/>
      <c r="K212" s="85"/>
      <c r="L212" s="78"/>
      <c r="M212" s="78"/>
      <c r="N212" s="78"/>
    </row>
    <row r="213" spans="2:14" x14ac:dyDescent="0.4">
      <c r="B213" s="78"/>
      <c r="C213" s="78"/>
      <c r="D213" s="85"/>
      <c r="E213" s="85"/>
      <c r="F213" s="85"/>
      <c r="G213" s="85"/>
      <c r="H213" s="85"/>
      <c r="I213" s="85"/>
      <c r="J213" s="85"/>
      <c r="K213" s="85"/>
      <c r="L213" s="78"/>
      <c r="M213" s="78"/>
      <c r="N213" s="78"/>
    </row>
    <row r="214" spans="2:14" x14ac:dyDescent="0.4">
      <c r="B214" s="78"/>
      <c r="C214" s="78"/>
      <c r="D214" s="85"/>
      <c r="E214" s="85"/>
      <c r="F214" s="85"/>
      <c r="G214" s="85"/>
      <c r="H214" s="85"/>
      <c r="I214" s="85"/>
      <c r="J214" s="85"/>
      <c r="K214" s="85"/>
      <c r="L214" s="78"/>
      <c r="M214" s="78"/>
      <c r="N214" s="78"/>
    </row>
    <row r="215" spans="2:14" x14ac:dyDescent="0.4">
      <c r="B215" s="78"/>
      <c r="C215" s="78"/>
      <c r="D215" s="85"/>
      <c r="E215" s="85"/>
      <c r="F215" s="85"/>
      <c r="G215" s="85"/>
      <c r="H215" s="85"/>
      <c r="I215" s="85"/>
      <c r="J215" s="85"/>
      <c r="K215" s="85"/>
      <c r="L215" s="78"/>
      <c r="M215" s="78"/>
      <c r="N215" s="78"/>
    </row>
    <row r="216" spans="2:14" x14ac:dyDescent="0.4">
      <c r="B216" s="78"/>
      <c r="C216" s="78"/>
      <c r="D216" s="85"/>
      <c r="E216" s="85"/>
      <c r="F216" s="85"/>
      <c r="G216" s="85"/>
      <c r="H216" s="85"/>
      <c r="I216" s="85"/>
      <c r="J216" s="85"/>
      <c r="K216" s="85"/>
      <c r="L216" s="78"/>
      <c r="M216" s="78"/>
      <c r="N216" s="78"/>
    </row>
    <row r="217" spans="2:14" x14ac:dyDescent="0.4">
      <c r="B217" s="78"/>
      <c r="C217" s="78"/>
      <c r="D217" s="79"/>
      <c r="E217" s="79"/>
      <c r="F217" s="79"/>
      <c r="G217" s="79"/>
      <c r="H217" s="79"/>
      <c r="I217" s="79"/>
      <c r="J217" s="79"/>
      <c r="K217" s="79"/>
      <c r="L217" s="78"/>
      <c r="M217" s="78"/>
      <c r="N217" s="78"/>
    </row>
    <row r="218" spans="2:14" x14ac:dyDescent="0.4">
      <c r="B218" s="78"/>
      <c r="C218" s="78"/>
      <c r="D218" s="79"/>
      <c r="E218" s="79"/>
      <c r="F218" s="79"/>
      <c r="G218" s="79"/>
      <c r="H218" s="79"/>
      <c r="I218" s="79"/>
      <c r="J218" s="79"/>
      <c r="K218" s="79"/>
      <c r="L218" s="78"/>
      <c r="M218" s="78"/>
      <c r="N218" s="78"/>
    </row>
    <row r="219" spans="2:14" x14ac:dyDescent="0.4">
      <c r="B219" s="78"/>
      <c r="C219" s="78"/>
      <c r="D219" s="79"/>
      <c r="E219" s="79"/>
      <c r="F219" s="79"/>
      <c r="G219" s="79"/>
      <c r="H219" s="79"/>
      <c r="I219" s="79"/>
      <c r="J219" s="79"/>
      <c r="K219" s="79"/>
      <c r="L219" s="78"/>
      <c r="M219" s="78"/>
      <c r="N219" s="78"/>
    </row>
    <row r="220" spans="2:14" x14ac:dyDescent="0.4">
      <c r="B220" s="7"/>
      <c r="C220" s="7"/>
      <c r="D220" s="8"/>
      <c r="E220" s="8"/>
      <c r="F220" s="8"/>
      <c r="G220" s="8"/>
      <c r="H220" s="8"/>
      <c r="I220" s="8"/>
      <c r="J220" s="8"/>
      <c r="K220" s="8"/>
      <c r="L220" s="7"/>
      <c r="M220" s="7"/>
      <c r="N220" s="7"/>
    </row>
    <row r="221" spans="2:14" x14ac:dyDescent="0.4">
      <c r="B221" s="7"/>
      <c r="C221" s="7"/>
      <c r="D221" s="8"/>
      <c r="E221" s="8"/>
      <c r="F221" s="8"/>
      <c r="G221" s="8"/>
      <c r="H221" s="8"/>
      <c r="I221" s="8"/>
      <c r="J221" s="8"/>
      <c r="K221" s="8"/>
      <c r="L221" s="7"/>
      <c r="M221" s="7"/>
      <c r="N221" s="7"/>
    </row>
    <row r="222" spans="2:14" ht="22.9" x14ac:dyDescent="0.65">
      <c r="B222" s="7"/>
      <c r="C222" s="9" t="s">
        <v>124</v>
      </c>
      <c r="D222" s="8"/>
      <c r="E222" s="8"/>
      <c r="F222" s="8"/>
      <c r="G222" s="8"/>
      <c r="H222" s="8"/>
      <c r="I222" s="8"/>
      <c r="J222" s="8"/>
      <c r="K222" s="8"/>
      <c r="L222" s="7"/>
      <c r="M222" s="7"/>
      <c r="N222" s="7"/>
    </row>
    <row r="223" spans="2:14" ht="12" customHeight="1" x14ac:dyDescent="0.65">
      <c r="B223" s="7"/>
      <c r="C223" s="9"/>
      <c r="D223" s="8"/>
      <c r="E223" s="8"/>
      <c r="F223" s="8"/>
      <c r="G223" s="8"/>
      <c r="H223" s="8"/>
      <c r="I223" s="8"/>
      <c r="J223" s="8"/>
      <c r="K223" s="8"/>
      <c r="L223" s="7"/>
      <c r="M223" s="7"/>
      <c r="N223" s="7"/>
    </row>
    <row r="224" spans="2:14" ht="27.75" customHeight="1" x14ac:dyDescent="0.5">
      <c r="B224" s="7"/>
      <c r="C224" s="10" t="s">
        <v>44</v>
      </c>
      <c r="D224" s="8"/>
      <c r="E224" s="8"/>
      <c r="F224" s="8"/>
      <c r="G224" s="8"/>
      <c r="H224" s="8"/>
      <c r="I224" s="8"/>
      <c r="J224" s="8"/>
      <c r="K224" s="8"/>
      <c r="L224" s="7"/>
      <c r="M224" s="7"/>
      <c r="N224" s="7"/>
    </row>
    <row r="225" spans="2:14" x14ac:dyDescent="0.4">
      <c r="B225" s="7"/>
      <c r="C225" s="11" t="s">
        <v>45</v>
      </c>
      <c r="D225" s="12">
        <v>1055</v>
      </c>
      <c r="E225" s="8"/>
      <c r="F225" s="8"/>
      <c r="G225" s="8"/>
      <c r="H225" s="8"/>
      <c r="I225" s="8"/>
      <c r="J225" s="8"/>
      <c r="K225" s="8"/>
      <c r="L225" s="7"/>
      <c r="M225" s="7"/>
      <c r="N225" s="7"/>
    </row>
    <row r="226" spans="2:14" x14ac:dyDescent="0.4">
      <c r="B226" s="7"/>
      <c r="C226" s="11" t="s">
        <v>46</v>
      </c>
      <c r="D226" s="12">
        <v>-1042</v>
      </c>
      <c r="E226" s="8"/>
      <c r="F226" s="8"/>
      <c r="G226" s="8"/>
      <c r="H226" s="8"/>
      <c r="I226" s="8"/>
      <c r="J226" s="8"/>
      <c r="K226" s="8"/>
      <c r="L226" s="7"/>
      <c r="M226" s="7"/>
      <c r="N226" s="7"/>
    </row>
    <row r="227" spans="2:14" x14ac:dyDescent="0.4">
      <c r="B227" s="7"/>
      <c r="C227" s="11" t="s">
        <v>47</v>
      </c>
      <c r="D227" s="12">
        <v>542</v>
      </c>
      <c r="E227" s="8"/>
      <c r="F227" s="8"/>
      <c r="G227" s="8"/>
      <c r="H227" s="8"/>
      <c r="I227" s="8"/>
      <c r="J227" s="8"/>
      <c r="K227" s="8"/>
      <c r="L227" s="7"/>
      <c r="M227" s="7"/>
      <c r="N227" s="7"/>
    </row>
    <row r="228" spans="2:14" x14ac:dyDescent="0.4">
      <c r="B228" s="7"/>
      <c r="C228" s="11" t="s">
        <v>48</v>
      </c>
      <c r="D228" s="12">
        <v>-542</v>
      </c>
      <c r="E228" s="8"/>
      <c r="F228" s="8"/>
      <c r="G228" s="8"/>
      <c r="H228" s="8"/>
      <c r="I228" s="8"/>
      <c r="J228" s="8"/>
      <c r="K228" s="8"/>
      <c r="L228" s="7"/>
      <c r="M228" s="7"/>
      <c r="N228" s="7"/>
    </row>
    <row r="229" spans="2:14" x14ac:dyDescent="0.4">
      <c r="B229" s="7"/>
      <c r="C229" s="7"/>
      <c r="D229" s="8"/>
      <c r="E229" s="8"/>
      <c r="F229" s="8"/>
      <c r="G229" s="8"/>
      <c r="H229" s="8"/>
      <c r="I229" s="8"/>
      <c r="J229" s="8"/>
      <c r="K229" s="8"/>
      <c r="L229" s="7"/>
      <c r="M229" s="7"/>
      <c r="N229" s="7"/>
    </row>
    <row r="230" spans="2:14" ht="17.649999999999999" x14ac:dyDescent="0.5">
      <c r="B230" s="7"/>
      <c r="C230" s="10" t="s">
        <v>109</v>
      </c>
      <c r="D230" s="12"/>
      <c r="E230" s="8"/>
      <c r="F230" s="8"/>
      <c r="G230" s="8"/>
      <c r="H230" s="8"/>
      <c r="I230" s="8"/>
      <c r="J230" s="8"/>
      <c r="K230" s="8"/>
      <c r="L230" s="7"/>
      <c r="M230" s="7"/>
      <c r="N230" s="7"/>
    </row>
    <row r="231" spans="2:14" ht="33.75" customHeight="1" x14ac:dyDescent="0.4">
      <c r="B231" s="7"/>
      <c r="C231" s="13" t="s">
        <v>108</v>
      </c>
      <c r="D231" s="12">
        <v>323</v>
      </c>
      <c r="E231" s="8"/>
      <c r="F231" s="8"/>
      <c r="G231" s="8"/>
      <c r="H231" s="8"/>
      <c r="I231" s="8"/>
      <c r="J231" s="8"/>
      <c r="K231" s="8"/>
      <c r="L231" s="7"/>
      <c r="M231" s="7"/>
      <c r="N231" s="7"/>
    </row>
    <row r="232" spans="2:14" x14ac:dyDescent="0.4">
      <c r="B232" s="7"/>
      <c r="C232" s="11"/>
      <c r="D232" s="12"/>
      <c r="E232" s="8"/>
      <c r="F232" s="8"/>
      <c r="G232" s="8"/>
      <c r="H232" s="8"/>
      <c r="I232" s="8"/>
      <c r="J232" s="8"/>
      <c r="K232" s="8"/>
      <c r="L232" s="7"/>
      <c r="M232" s="7"/>
      <c r="N232" s="7"/>
    </row>
    <row r="233" spans="2:14" x14ac:dyDescent="0.4">
      <c r="B233" s="7"/>
      <c r="C233" s="7"/>
      <c r="D233" s="8"/>
      <c r="E233" s="8"/>
      <c r="F233" s="8"/>
      <c r="G233" s="8"/>
      <c r="H233" s="8"/>
      <c r="I233" s="8"/>
      <c r="J233" s="8"/>
      <c r="K233" s="8"/>
      <c r="L233" s="7"/>
      <c r="M233" s="7"/>
      <c r="N233" s="7"/>
    </row>
    <row r="234" spans="2:14" ht="17.649999999999999" x14ac:dyDescent="0.5">
      <c r="B234" s="7"/>
      <c r="C234" s="10" t="s">
        <v>49</v>
      </c>
      <c r="D234" s="8"/>
      <c r="E234" s="8"/>
      <c r="F234" s="8"/>
      <c r="G234" s="8"/>
      <c r="H234" s="8"/>
      <c r="I234" s="8"/>
      <c r="J234" s="8"/>
      <c r="K234" s="8"/>
      <c r="L234" s="7"/>
      <c r="M234" s="7"/>
      <c r="N234" s="7"/>
    </row>
    <row r="235" spans="2:14" x14ac:dyDescent="0.4">
      <c r="B235" s="7"/>
      <c r="C235" s="11" t="s">
        <v>50</v>
      </c>
      <c r="D235" s="12">
        <v>19</v>
      </c>
      <c r="E235" s="8"/>
      <c r="F235" s="8"/>
      <c r="G235" s="8"/>
      <c r="H235" s="8"/>
      <c r="I235" s="8"/>
      <c r="J235" s="8"/>
      <c r="K235" s="8"/>
      <c r="L235" s="7"/>
      <c r="M235" s="7"/>
      <c r="N235" s="7"/>
    </row>
    <row r="236" spans="2:14" x14ac:dyDescent="0.4">
      <c r="B236" s="7"/>
      <c r="C236" s="11" t="s">
        <v>51</v>
      </c>
      <c r="D236" s="12">
        <v>564</v>
      </c>
      <c r="E236" s="8"/>
      <c r="F236" s="8"/>
      <c r="G236" s="8"/>
      <c r="H236" s="8"/>
      <c r="I236" s="8"/>
      <c r="J236" s="8"/>
      <c r="K236" s="8"/>
      <c r="L236" s="7"/>
      <c r="M236" s="7"/>
      <c r="N236" s="7"/>
    </row>
    <row r="237" spans="2:14" x14ac:dyDescent="0.4">
      <c r="B237" s="7"/>
      <c r="C237" s="11" t="s">
        <v>52</v>
      </c>
      <c r="D237" s="12">
        <v>653</v>
      </c>
      <c r="E237" s="8"/>
      <c r="F237" s="8"/>
      <c r="G237" s="8"/>
      <c r="H237" s="8"/>
      <c r="I237" s="8"/>
      <c r="J237" s="8"/>
      <c r="K237" s="8"/>
      <c r="L237" s="7"/>
      <c r="M237" s="7"/>
      <c r="N237" s="7"/>
    </row>
    <row r="238" spans="2:14" x14ac:dyDescent="0.4">
      <c r="B238" s="7"/>
      <c r="C238" s="7"/>
      <c r="D238" s="8"/>
      <c r="E238" s="8"/>
      <c r="F238" s="8"/>
      <c r="G238" s="8"/>
      <c r="H238" s="8"/>
      <c r="I238" s="8"/>
      <c r="J238" s="8"/>
      <c r="K238" s="8"/>
      <c r="L238" s="7"/>
      <c r="M238" s="7"/>
      <c r="N238" s="7"/>
    </row>
    <row r="239" spans="2:14" ht="17.649999999999999" x14ac:dyDescent="0.5">
      <c r="B239" s="7"/>
      <c r="C239" s="10" t="s">
        <v>53</v>
      </c>
      <c r="D239" s="12"/>
      <c r="E239" s="8"/>
      <c r="F239" s="8"/>
      <c r="G239" s="8"/>
      <c r="H239" s="8"/>
      <c r="I239" s="8"/>
      <c r="J239" s="8"/>
      <c r="K239" s="8"/>
      <c r="L239" s="7"/>
      <c r="M239" s="7"/>
      <c r="N239" s="7"/>
    </row>
    <row r="240" spans="2:14" x14ac:dyDescent="0.4">
      <c r="B240" s="7"/>
      <c r="C240" s="11" t="s">
        <v>54</v>
      </c>
      <c r="D240" s="12">
        <v>309</v>
      </c>
      <c r="E240" s="8"/>
      <c r="F240" s="8"/>
      <c r="G240" s="8"/>
      <c r="H240" s="8"/>
      <c r="I240" s="8"/>
      <c r="J240" s="8"/>
      <c r="K240" s="8"/>
      <c r="L240" s="7"/>
      <c r="M240" s="7"/>
      <c r="N240" s="7"/>
    </row>
    <row r="241" spans="2:14" x14ac:dyDescent="0.4">
      <c r="B241" s="7"/>
      <c r="C241" s="11"/>
      <c r="D241" s="12"/>
      <c r="E241" s="8"/>
      <c r="F241" s="8"/>
      <c r="G241" s="8"/>
      <c r="H241" s="8"/>
      <c r="I241" s="8"/>
      <c r="J241" s="8"/>
      <c r="K241" s="8"/>
      <c r="L241" s="7"/>
      <c r="M241" s="7"/>
      <c r="N241" s="7"/>
    </row>
    <row r="242" spans="2:14" ht="17.649999999999999" x14ac:dyDescent="0.5">
      <c r="B242" s="7"/>
      <c r="C242" s="10" t="s">
        <v>55</v>
      </c>
      <c r="D242" s="12"/>
      <c r="E242" s="8"/>
      <c r="F242" s="8"/>
      <c r="G242" s="8"/>
      <c r="H242" s="8"/>
      <c r="I242" s="8"/>
      <c r="J242" s="8"/>
      <c r="K242" s="8"/>
      <c r="L242" s="7"/>
      <c r="M242" s="7"/>
      <c r="N242" s="7"/>
    </row>
    <row r="243" spans="2:14" x14ac:dyDescent="0.4">
      <c r="B243" s="7"/>
      <c r="C243" s="11" t="s">
        <v>56</v>
      </c>
      <c r="D243" s="12">
        <v>195</v>
      </c>
      <c r="E243" s="8"/>
      <c r="F243" s="8"/>
      <c r="G243" s="8"/>
      <c r="H243" s="8"/>
      <c r="I243" s="8"/>
      <c r="J243" s="8"/>
      <c r="K243" s="8"/>
      <c r="L243" s="7"/>
      <c r="M243" s="7"/>
      <c r="N243" s="7"/>
    </row>
    <row r="244" spans="2:14" x14ac:dyDescent="0.4">
      <c r="B244" s="7"/>
      <c r="C244" s="11"/>
      <c r="D244" s="12"/>
      <c r="E244" s="8"/>
      <c r="F244" s="8"/>
      <c r="G244" s="8"/>
      <c r="H244" s="8"/>
      <c r="I244" s="8"/>
      <c r="J244" s="8"/>
      <c r="K244" s="8"/>
      <c r="L244" s="7"/>
      <c r="M244" s="7"/>
      <c r="N244" s="7"/>
    </row>
    <row r="245" spans="2:14" ht="17.649999999999999" x14ac:dyDescent="0.5">
      <c r="B245" s="7"/>
      <c r="C245" s="10" t="s">
        <v>57</v>
      </c>
      <c r="D245" s="12"/>
      <c r="E245" s="8"/>
      <c r="F245" s="8"/>
      <c r="G245" s="8"/>
      <c r="H245" s="8"/>
      <c r="I245" s="8"/>
      <c r="J245" s="8"/>
      <c r="K245" s="8"/>
      <c r="L245" s="7"/>
      <c r="M245" s="7"/>
      <c r="N245" s="7"/>
    </row>
    <row r="246" spans="2:14" x14ac:dyDescent="0.4">
      <c r="B246" s="7"/>
      <c r="C246" s="11" t="s">
        <v>58</v>
      </c>
      <c r="D246" s="12">
        <v>183</v>
      </c>
      <c r="E246" s="8"/>
      <c r="F246" s="8"/>
      <c r="G246" s="8"/>
      <c r="H246" s="8"/>
      <c r="I246" s="8"/>
      <c r="J246" s="8"/>
      <c r="K246" s="8"/>
      <c r="L246" s="7"/>
      <c r="M246" s="7"/>
      <c r="N246" s="7"/>
    </row>
    <row r="247" spans="2:14" x14ac:dyDescent="0.4">
      <c r="B247" s="7"/>
      <c r="C247" s="11"/>
      <c r="D247" s="12"/>
      <c r="E247" s="8"/>
      <c r="F247" s="8"/>
      <c r="G247" s="8"/>
      <c r="H247" s="8"/>
      <c r="I247" s="8"/>
      <c r="J247" s="8"/>
      <c r="K247" s="8"/>
      <c r="L247" s="7"/>
      <c r="M247" s="7"/>
      <c r="N247" s="7"/>
    </row>
    <row r="248" spans="2:14" ht="17.649999999999999" x14ac:dyDescent="0.5">
      <c r="B248" s="7"/>
      <c r="C248" s="10" t="s">
        <v>59</v>
      </c>
      <c r="D248" s="8"/>
      <c r="E248" s="8"/>
      <c r="F248" s="8"/>
      <c r="G248" s="8"/>
      <c r="H248" s="8"/>
      <c r="I248" s="8"/>
      <c r="J248" s="8"/>
      <c r="K248" s="8"/>
      <c r="L248" s="7"/>
      <c r="M248" s="7"/>
      <c r="N248" s="7"/>
    </row>
    <row r="249" spans="2:14" x14ac:dyDescent="0.4">
      <c r="B249" s="7"/>
      <c r="C249" s="11" t="s">
        <v>60</v>
      </c>
      <c r="D249" s="12">
        <v>69</v>
      </c>
      <c r="E249" s="8"/>
      <c r="F249" s="8"/>
      <c r="G249" s="8"/>
      <c r="H249" s="8"/>
      <c r="I249" s="8"/>
      <c r="J249" s="8"/>
      <c r="K249" s="8"/>
      <c r="L249" s="7"/>
      <c r="M249" s="7"/>
      <c r="N249" s="7"/>
    </row>
    <row r="250" spans="2:14" x14ac:dyDescent="0.4">
      <c r="B250" s="7"/>
      <c r="C250" s="11" t="s">
        <v>61</v>
      </c>
      <c r="D250" s="12">
        <v>-69</v>
      </c>
      <c r="E250" s="8"/>
      <c r="F250" s="8"/>
      <c r="G250" s="8"/>
      <c r="H250" s="8"/>
      <c r="I250" s="8"/>
      <c r="J250" s="8"/>
      <c r="K250" s="8"/>
      <c r="L250" s="7"/>
      <c r="M250" s="7"/>
      <c r="N250" s="7"/>
    </row>
    <row r="251" spans="2:14" x14ac:dyDescent="0.4">
      <c r="B251" s="7"/>
      <c r="C251" s="7"/>
      <c r="D251" s="8"/>
      <c r="E251" s="8"/>
      <c r="F251" s="8"/>
      <c r="G251" s="8"/>
      <c r="H251" s="8"/>
      <c r="I251" s="8"/>
      <c r="J251" s="8"/>
      <c r="K251" s="8"/>
      <c r="L251" s="7"/>
      <c r="M251" s="7"/>
      <c r="N251" s="7"/>
    </row>
    <row r="252" spans="2:14" ht="17.649999999999999" x14ac:dyDescent="0.5">
      <c r="B252" s="7"/>
      <c r="C252" s="10" t="s">
        <v>98</v>
      </c>
      <c r="D252" s="12"/>
      <c r="E252" s="8"/>
      <c r="F252" s="8"/>
      <c r="G252" s="8"/>
      <c r="H252" s="8"/>
      <c r="I252" s="8"/>
      <c r="J252" s="8"/>
      <c r="K252" s="8"/>
      <c r="L252" s="7"/>
      <c r="M252" s="7"/>
      <c r="N252" s="7"/>
    </row>
    <row r="253" spans="2:14" x14ac:dyDescent="0.4">
      <c r="B253" s="7"/>
      <c r="C253" s="11" t="s">
        <v>62</v>
      </c>
      <c r="D253" s="14">
        <v>7</v>
      </c>
      <c r="E253" s="8"/>
      <c r="F253" s="8"/>
      <c r="G253" s="8"/>
      <c r="H253" s="8"/>
      <c r="I253" s="8"/>
      <c r="J253" s="8"/>
      <c r="K253" s="8"/>
      <c r="L253" s="7"/>
      <c r="M253" s="7"/>
      <c r="N253" s="7"/>
    </row>
    <row r="254" spans="2:14" x14ac:dyDescent="0.4">
      <c r="B254" s="7"/>
      <c r="C254" s="11" t="s">
        <v>63</v>
      </c>
      <c r="D254" s="14">
        <v>1.89</v>
      </c>
      <c r="E254" s="8"/>
      <c r="F254" s="8"/>
      <c r="G254" s="8"/>
      <c r="H254" s="8"/>
      <c r="I254" s="8"/>
      <c r="J254" s="8"/>
      <c r="K254" s="8"/>
      <c r="L254" s="7"/>
      <c r="M254" s="7"/>
      <c r="N254" s="7"/>
    </row>
    <row r="255" spans="2:14" x14ac:dyDescent="0.4">
      <c r="B255" s="7"/>
      <c r="C255" s="11" t="s">
        <v>64</v>
      </c>
      <c r="D255" s="14">
        <v>9.3000000000000007</v>
      </c>
      <c r="E255" s="8"/>
      <c r="F255" s="8"/>
      <c r="G255" s="8"/>
      <c r="H255" s="8"/>
      <c r="I255" s="8"/>
      <c r="J255" s="8"/>
      <c r="K255" s="8"/>
      <c r="L255" s="7"/>
      <c r="M255" s="7"/>
      <c r="N255" s="7"/>
    </row>
    <row r="256" spans="2:14" x14ac:dyDescent="0.4">
      <c r="B256" s="7"/>
      <c r="C256" s="11" t="s">
        <v>65</v>
      </c>
      <c r="D256" s="14">
        <v>1.01</v>
      </c>
      <c r="E256" s="8"/>
      <c r="F256" s="8"/>
      <c r="G256" s="8"/>
      <c r="H256" s="8"/>
      <c r="I256" s="8"/>
      <c r="J256" s="8"/>
      <c r="K256" s="8"/>
      <c r="L256" s="7"/>
      <c r="M256" s="7"/>
      <c r="N256" s="7"/>
    </row>
    <row r="257" spans="2:14" x14ac:dyDescent="0.4">
      <c r="B257" s="7"/>
      <c r="C257" s="11" t="s">
        <v>66</v>
      </c>
      <c r="D257" s="14">
        <v>29.4</v>
      </c>
      <c r="E257" s="8"/>
      <c r="F257" s="8"/>
      <c r="G257" s="8"/>
      <c r="H257" s="8"/>
      <c r="I257" s="8"/>
      <c r="J257" s="8"/>
      <c r="K257" s="8"/>
      <c r="L257" s="7"/>
      <c r="M257" s="7"/>
      <c r="N257" s="7"/>
    </row>
    <row r="258" spans="2:14" x14ac:dyDescent="0.4">
      <c r="B258" s="7"/>
      <c r="C258" s="11" t="s">
        <v>67</v>
      </c>
      <c r="D258" s="14">
        <v>5.3</v>
      </c>
      <c r="E258" s="8"/>
      <c r="F258" s="8"/>
      <c r="G258" s="8"/>
      <c r="H258" s="8"/>
      <c r="I258" s="8"/>
      <c r="J258" s="8"/>
      <c r="K258" s="8"/>
      <c r="L258" s="7"/>
      <c r="M258" s="7"/>
      <c r="N258" s="7"/>
    </row>
    <row r="259" spans="2:14" x14ac:dyDescent="0.4">
      <c r="B259" s="7"/>
      <c r="C259" s="11" t="s">
        <v>68</v>
      </c>
      <c r="D259" s="14">
        <v>2.84</v>
      </c>
      <c r="E259" s="8"/>
      <c r="F259" s="8"/>
      <c r="G259" s="8"/>
      <c r="H259" s="8"/>
      <c r="I259" s="8"/>
      <c r="J259" s="8"/>
      <c r="K259" s="8"/>
      <c r="L259" s="7"/>
      <c r="M259" s="7"/>
      <c r="N259" s="7"/>
    </row>
    <row r="260" spans="2:14" x14ac:dyDescent="0.4">
      <c r="B260" s="7"/>
      <c r="C260" s="11"/>
      <c r="D260" s="12"/>
      <c r="E260" s="8"/>
      <c r="F260" s="8"/>
      <c r="G260" s="8"/>
      <c r="H260" s="8"/>
      <c r="I260" s="8"/>
      <c r="J260" s="8"/>
      <c r="K260" s="8"/>
      <c r="L260" s="7"/>
      <c r="M260" s="7"/>
      <c r="N260" s="7"/>
    </row>
    <row r="261" spans="2:14" ht="17.649999999999999" x14ac:dyDescent="0.5">
      <c r="B261" s="7"/>
      <c r="C261" s="10" t="s">
        <v>69</v>
      </c>
      <c r="D261" s="12"/>
      <c r="E261" s="8"/>
      <c r="F261" s="8"/>
      <c r="G261" s="8"/>
      <c r="H261" s="8"/>
      <c r="I261" s="8"/>
      <c r="J261" s="8"/>
      <c r="K261" s="8"/>
      <c r="L261" s="7"/>
      <c r="M261" s="7"/>
      <c r="N261" s="7"/>
    </row>
    <row r="262" spans="2:14" ht="33.75" customHeight="1" x14ac:dyDescent="0.4">
      <c r="B262" s="7"/>
      <c r="C262" s="13" t="s">
        <v>99</v>
      </c>
      <c r="D262" s="12">
        <v>1278</v>
      </c>
      <c r="E262" s="8"/>
      <c r="F262" s="8"/>
      <c r="G262" s="8"/>
      <c r="H262" s="8"/>
      <c r="I262" s="8"/>
      <c r="J262" s="8"/>
      <c r="K262" s="8"/>
      <c r="L262" s="7"/>
      <c r="M262" s="7"/>
      <c r="N262" s="7"/>
    </row>
    <row r="263" spans="2:14" ht="14.45" customHeight="1" x14ac:dyDescent="0.4">
      <c r="B263" s="7"/>
      <c r="C263" s="13"/>
      <c r="D263" s="12"/>
      <c r="E263" s="8"/>
      <c r="F263" s="8"/>
      <c r="G263" s="8"/>
      <c r="H263" s="8"/>
      <c r="I263" s="8"/>
      <c r="J263" s="8"/>
      <c r="K263" s="8"/>
      <c r="L263" s="7"/>
      <c r="M263" s="7"/>
      <c r="N263" s="7"/>
    </row>
    <row r="264" spans="2:14" ht="14.45" customHeight="1" x14ac:dyDescent="0.5">
      <c r="B264" s="7"/>
      <c r="C264" s="10" t="s">
        <v>144</v>
      </c>
      <c r="D264" s="12"/>
      <c r="E264" s="8"/>
      <c r="F264" s="8"/>
      <c r="G264" s="8"/>
      <c r="H264" s="8"/>
      <c r="I264" s="8"/>
      <c r="J264" s="8"/>
      <c r="K264" s="8"/>
      <c r="L264" s="7"/>
      <c r="M264" s="7"/>
      <c r="N264" s="7"/>
    </row>
    <row r="265" spans="2:14" ht="14.45" customHeight="1" x14ac:dyDescent="0.4">
      <c r="B265" s="7"/>
      <c r="C265" s="11" t="s">
        <v>145</v>
      </c>
      <c r="D265" s="12">
        <v>67</v>
      </c>
      <c r="E265" s="8"/>
      <c r="F265" s="8"/>
      <c r="G265" s="8"/>
      <c r="H265" s="8"/>
      <c r="I265" s="8"/>
      <c r="J265" s="8"/>
      <c r="K265" s="8"/>
      <c r="L265" s="11"/>
      <c r="M265" s="7"/>
      <c r="N265" s="7"/>
    </row>
    <row r="266" spans="2:14" ht="14.45" customHeight="1" x14ac:dyDescent="0.4">
      <c r="B266" s="7"/>
      <c r="C266" s="11" t="s">
        <v>146</v>
      </c>
      <c r="D266" s="12">
        <v>390</v>
      </c>
      <c r="E266" s="8"/>
      <c r="F266" s="8"/>
      <c r="G266" s="8"/>
      <c r="H266" s="8"/>
      <c r="I266" s="8"/>
      <c r="J266" s="8"/>
      <c r="K266" s="8"/>
      <c r="L266" s="11"/>
      <c r="M266" s="7"/>
      <c r="N266" s="7"/>
    </row>
    <row r="267" spans="2:14" ht="14.45" customHeight="1" x14ac:dyDescent="0.4">
      <c r="B267" s="7"/>
      <c r="C267" s="11" t="s">
        <v>147</v>
      </c>
      <c r="D267" s="12">
        <v>90</v>
      </c>
      <c r="E267" s="8"/>
      <c r="F267" s="8"/>
      <c r="G267" s="8"/>
      <c r="H267" s="8"/>
      <c r="I267" s="8"/>
      <c r="J267" s="8"/>
      <c r="K267" s="8"/>
      <c r="L267" s="11"/>
      <c r="M267" s="7"/>
      <c r="N267" s="7"/>
    </row>
    <row r="268" spans="2:14" ht="14.45" customHeight="1" x14ac:dyDescent="0.4">
      <c r="B268" s="7"/>
      <c r="C268" s="11" t="s">
        <v>148</v>
      </c>
      <c r="D268" s="12">
        <v>98</v>
      </c>
      <c r="E268" s="8"/>
      <c r="F268" s="8"/>
      <c r="G268" s="8"/>
      <c r="H268" s="8"/>
      <c r="I268" s="8"/>
      <c r="J268" s="8"/>
      <c r="K268" s="8"/>
      <c r="L268" s="11"/>
      <c r="M268" s="7"/>
      <c r="N268" s="7"/>
    </row>
    <row r="269" spans="2:14" ht="14.45" customHeight="1" x14ac:dyDescent="0.4">
      <c r="B269" s="7"/>
      <c r="C269" s="11" t="s">
        <v>149</v>
      </c>
      <c r="D269" s="12">
        <v>100</v>
      </c>
      <c r="E269" s="8"/>
      <c r="F269" s="8"/>
      <c r="G269" s="8"/>
      <c r="H269" s="8"/>
      <c r="I269" s="8"/>
      <c r="J269" s="8"/>
      <c r="K269" s="8"/>
      <c r="L269" s="11"/>
      <c r="M269" s="7"/>
      <c r="N269" s="7"/>
    </row>
    <row r="270" spans="2:14" ht="14.45" customHeight="1" x14ac:dyDescent="0.4">
      <c r="B270" s="7"/>
      <c r="C270" s="11" t="s">
        <v>150</v>
      </c>
      <c r="D270" s="12">
        <v>56</v>
      </c>
      <c r="E270" s="8"/>
      <c r="F270" s="8"/>
      <c r="G270" s="8"/>
      <c r="H270" s="8"/>
      <c r="I270" s="8"/>
      <c r="J270" s="8"/>
      <c r="K270" s="8"/>
      <c r="L270" s="11"/>
      <c r="M270" s="7"/>
      <c r="N270" s="7"/>
    </row>
    <row r="271" spans="2:14" ht="14.45" customHeight="1" x14ac:dyDescent="0.4">
      <c r="B271" s="7"/>
      <c r="C271" s="11" t="s">
        <v>151</v>
      </c>
      <c r="D271" s="12">
        <v>80</v>
      </c>
      <c r="E271" s="8"/>
      <c r="F271" s="8"/>
      <c r="G271" s="8"/>
      <c r="H271" s="8"/>
      <c r="I271" s="8"/>
      <c r="J271" s="8"/>
      <c r="K271" s="8"/>
      <c r="L271" s="11"/>
      <c r="M271" s="7"/>
      <c r="N271" s="7"/>
    </row>
    <row r="272" spans="2:14" ht="14.45" customHeight="1" x14ac:dyDescent="0.4">
      <c r="B272" s="7"/>
      <c r="C272" s="11"/>
      <c r="D272" s="12"/>
      <c r="E272" s="8"/>
      <c r="F272" s="8"/>
      <c r="G272" s="8"/>
      <c r="H272" s="8"/>
      <c r="I272" s="8"/>
      <c r="J272" s="8"/>
      <c r="K272" s="8"/>
      <c r="L272" s="11"/>
      <c r="M272" s="7"/>
      <c r="N272" s="7"/>
    </row>
    <row r="273" spans="2:14" ht="17.649999999999999" x14ac:dyDescent="0.5">
      <c r="B273" s="7"/>
      <c r="C273" s="10" t="s">
        <v>70</v>
      </c>
      <c r="D273" s="12"/>
      <c r="E273" s="8"/>
      <c r="F273" s="8"/>
      <c r="G273" s="8"/>
      <c r="H273" s="8"/>
      <c r="I273" s="8"/>
      <c r="J273" s="8"/>
      <c r="K273" s="8"/>
      <c r="L273" s="11"/>
      <c r="M273" s="7"/>
      <c r="N273" s="7"/>
    </row>
    <row r="274" spans="2:14" x14ac:dyDescent="0.4">
      <c r="B274" s="7"/>
      <c r="C274" s="11" t="s">
        <v>97</v>
      </c>
      <c r="D274" s="12">
        <v>268</v>
      </c>
      <c r="E274" s="8"/>
      <c r="F274" s="8"/>
      <c r="G274" s="8"/>
      <c r="H274" s="8"/>
      <c r="I274" s="8"/>
      <c r="J274" s="8"/>
      <c r="K274" s="8"/>
      <c r="L274" s="7"/>
      <c r="M274" s="7"/>
      <c r="N274" s="7"/>
    </row>
    <row r="275" spans="2:14" x14ac:dyDescent="0.4">
      <c r="B275" s="7"/>
      <c r="C275" s="11"/>
      <c r="D275" s="12"/>
      <c r="E275" s="8"/>
      <c r="F275" s="8"/>
      <c r="G275" s="8"/>
      <c r="H275" s="8"/>
      <c r="I275" s="8"/>
      <c r="J275" s="8"/>
      <c r="K275" s="8"/>
      <c r="L275" s="7"/>
      <c r="M275" s="7"/>
      <c r="N275" s="7"/>
    </row>
    <row r="276" spans="2:14" x14ac:dyDescent="0.4">
      <c r="B276" s="7"/>
      <c r="C276" s="15" t="s">
        <v>95</v>
      </c>
      <c r="D276" s="12"/>
      <c r="E276" s="8"/>
      <c r="F276" s="8"/>
      <c r="G276" s="8"/>
      <c r="H276" s="8"/>
      <c r="I276" s="8"/>
      <c r="J276" s="8"/>
      <c r="K276" s="8"/>
      <c r="L276" s="7"/>
      <c r="M276" s="7"/>
      <c r="N276" s="7"/>
    </row>
    <row r="277" spans="2:14" x14ac:dyDescent="0.4">
      <c r="B277" s="7"/>
      <c r="C277" s="15" t="s">
        <v>71</v>
      </c>
      <c r="D277" s="8"/>
      <c r="E277" s="8"/>
      <c r="F277" s="8"/>
      <c r="G277" s="8"/>
      <c r="H277" s="8"/>
      <c r="I277" s="8"/>
      <c r="J277" s="8"/>
      <c r="K277" s="8"/>
      <c r="L277" s="7"/>
      <c r="M277" s="7"/>
      <c r="N277" s="7"/>
    </row>
    <row r="278" spans="2:14" x14ac:dyDescent="0.4">
      <c r="B278" s="7"/>
      <c r="C278" s="15" t="s">
        <v>72</v>
      </c>
      <c r="D278" s="8"/>
      <c r="E278" s="8"/>
      <c r="F278" s="8"/>
      <c r="G278" s="8"/>
      <c r="H278" s="8"/>
      <c r="I278" s="8"/>
      <c r="J278" s="8"/>
      <c r="K278" s="8"/>
      <c r="L278" s="7"/>
      <c r="M278" s="7"/>
      <c r="N278" s="7"/>
    </row>
    <row r="279" spans="2:14" x14ac:dyDescent="0.4">
      <c r="B279" s="7"/>
      <c r="C279" s="16" t="s">
        <v>73</v>
      </c>
      <c r="D279" s="8"/>
      <c r="E279" s="8"/>
      <c r="F279" s="8"/>
      <c r="G279" s="8"/>
      <c r="H279" s="8"/>
      <c r="I279" s="8"/>
      <c r="J279" s="8"/>
      <c r="K279" s="8"/>
      <c r="L279" s="7"/>
      <c r="M279" s="7"/>
      <c r="N279" s="7"/>
    </row>
    <row r="280" spans="2:14" x14ac:dyDescent="0.4">
      <c r="B280" s="7"/>
      <c r="C280" s="16" t="s">
        <v>119</v>
      </c>
      <c r="D280" s="8"/>
      <c r="E280" s="8"/>
      <c r="F280" s="8"/>
      <c r="G280" s="8"/>
      <c r="H280" s="8"/>
      <c r="I280" s="8"/>
      <c r="J280" s="8"/>
      <c r="K280" s="8"/>
      <c r="L280" s="7"/>
      <c r="M280" s="7"/>
      <c r="N280" s="7"/>
    </row>
    <row r="281" spans="2:14" x14ac:dyDescent="0.4">
      <c r="B281" s="7"/>
      <c r="C281" s="16"/>
      <c r="D281" s="8"/>
      <c r="E281" s="8"/>
      <c r="F281" s="8"/>
      <c r="G281" s="8"/>
      <c r="H281" s="8"/>
      <c r="I281" s="8"/>
      <c r="J281" s="8"/>
      <c r="K281" s="8"/>
      <c r="L281" s="7"/>
      <c r="M281" s="7"/>
      <c r="N281" s="7"/>
    </row>
    <row r="282" spans="2:14" x14ac:dyDescent="0.4">
      <c r="B282" s="7"/>
      <c r="C282" s="16"/>
      <c r="D282" s="8"/>
      <c r="E282" s="8"/>
      <c r="F282" s="8"/>
      <c r="G282" s="8"/>
      <c r="H282" s="8"/>
      <c r="I282" s="8"/>
      <c r="J282" s="8"/>
      <c r="K282" s="8"/>
      <c r="L282" s="7"/>
      <c r="M282" s="7"/>
      <c r="N282" s="7"/>
    </row>
    <row r="283" spans="2:14" ht="22.9" x14ac:dyDescent="0.65">
      <c r="B283" s="7"/>
      <c r="C283" s="9" t="s">
        <v>110</v>
      </c>
      <c r="D283" s="7"/>
      <c r="E283" s="7"/>
      <c r="F283" s="7"/>
      <c r="G283" s="8"/>
      <c r="H283" s="8"/>
      <c r="I283" s="8"/>
      <c r="J283" s="8"/>
      <c r="K283" s="8"/>
      <c r="L283" s="7"/>
      <c r="M283" s="7"/>
      <c r="N283" s="7"/>
    </row>
    <row r="284" spans="2:14" x14ac:dyDescent="0.4">
      <c r="B284" s="7"/>
      <c r="C284" s="17"/>
      <c r="D284" s="7"/>
      <c r="E284" s="7"/>
      <c r="F284" s="11"/>
      <c r="G284" s="12"/>
      <c r="H284" s="12"/>
      <c r="I284" s="12"/>
      <c r="J284" s="12"/>
      <c r="K284" s="12"/>
      <c r="L284" s="7"/>
      <c r="M284" s="7"/>
      <c r="N284" s="7"/>
    </row>
    <row r="285" spans="2:14" x14ac:dyDescent="0.4">
      <c r="B285" s="7"/>
      <c r="C285" s="11" t="s">
        <v>74</v>
      </c>
      <c r="D285" s="18"/>
      <c r="E285" s="19"/>
      <c r="F285" s="19">
        <v>125215</v>
      </c>
      <c r="G285" s="19">
        <f>F285+G286</f>
        <v>131475.75</v>
      </c>
      <c r="H285" s="19">
        <f t="shared" ref="H285:J285" si="35">G285+H286</f>
        <v>138049.53750000001</v>
      </c>
      <c r="I285" s="19">
        <f t="shared" si="35"/>
        <v>144952.014375</v>
      </c>
      <c r="J285" s="19">
        <f t="shared" si="35"/>
        <v>152199.61509375001</v>
      </c>
      <c r="K285" s="19">
        <f>J285+K286</f>
        <v>159809.59584843752</v>
      </c>
      <c r="L285" s="7"/>
      <c r="M285" s="7"/>
      <c r="N285" s="7"/>
    </row>
    <row r="286" spans="2:14" x14ac:dyDescent="0.4">
      <c r="B286" s="7"/>
      <c r="C286" s="11" t="s">
        <v>96</v>
      </c>
      <c r="D286" s="18"/>
      <c r="E286" s="20"/>
      <c r="F286" s="20"/>
      <c r="G286" s="20">
        <f>F285*0.05</f>
        <v>6260.75</v>
      </c>
      <c r="H286" s="20">
        <f t="shared" ref="H286:J286" si="36">G285*0.05</f>
        <v>6573.7875000000004</v>
      </c>
      <c r="I286" s="20">
        <f t="shared" si="36"/>
        <v>6902.4768750000003</v>
      </c>
      <c r="J286" s="20">
        <f t="shared" si="36"/>
        <v>7247.6007187499999</v>
      </c>
      <c r="K286" s="20">
        <f>J285*0.05</f>
        <v>7609.9807546875008</v>
      </c>
      <c r="L286" s="7"/>
      <c r="M286" s="7"/>
      <c r="N286" s="7"/>
    </row>
    <row r="287" spans="2:14" x14ac:dyDescent="0.4">
      <c r="B287" s="7"/>
      <c r="C287" s="11"/>
      <c r="D287" s="18"/>
      <c r="E287" s="18"/>
      <c r="F287" s="21"/>
      <c r="G287" s="20"/>
      <c r="H287" s="20"/>
      <c r="I287" s="20"/>
      <c r="J287" s="20"/>
      <c r="K287" s="20"/>
      <c r="L287" s="7"/>
      <c r="M287" s="7"/>
      <c r="N287" s="7"/>
    </row>
    <row r="288" spans="2:14" x14ac:dyDescent="0.4">
      <c r="B288" s="7"/>
      <c r="C288" s="11"/>
      <c r="D288" s="18"/>
      <c r="E288" s="18"/>
      <c r="F288" s="20"/>
      <c r="G288" s="20"/>
      <c r="H288" s="20"/>
      <c r="I288" s="20"/>
      <c r="J288" s="20"/>
      <c r="K288" s="20"/>
      <c r="L288" s="7"/>
      <c r="M288" s="7"/>
      <c r="N288" s="7"/>
    </row>
    <row r="289" spans="2:14" x14ac:dyDescent="0.4">
      <c r="B289" s="7"/>
      <c r="C289" s="11" t="s">
        <v>169</v>
      </c>
      <c r="D289" s="18"/>
      <c r="E289" s="20"/>
      <c r="F289" s="20"/>
      <c r="G289" s="20">
        <f>SUM(G308:G312,G164,G165,G166)</f>
        <v>644.5</v>
      </c>
      <c r="H289" s="20">
        <f>SUM(H308:H312,H164,H165,H166)</f>
        <v>644.5</v>
      </c>
      <c r="I289" s="20">
        <f>SUM(I308:I312,I164,I165,I166)</f>
        <v>806</v>
      </c>
      <c r="J289" s="20">
        <f>SUM(J308:J312,J164,J165,J166)</f>
        <v>160</v>
      </c>
      <c r="K289" s="20">
        <f>SUM(K308:K312,K164,K165,K166)</f>
        <v>160</v>
      </c>
      <c r="L289" s="7"/>
      <c r="M289" s="7"/>
      <c r="N289" s="7"/>
    </row>
    <row r="290" spans="2:14" x14ac:dyDescent="0.4">
      <c r="B290" s="7"/>
      <c r="C290" s="11"/>
      <c r="D290" s="18"/>
      <c r="E290" s="18"/>
      <c r="F290" s="22"/>
      <c r="G290" s="7"/>
      <c r="H290" s="7"/>
      <c r="I290" s="7"/>
      <c r="J290" s="7"/>
      <c r="K290" s="7"/>
      <c r="L290" s="7"/>
      <c r="M290" s="7"/>
      <c r="N290" s="7"/>
    </row>
    <row r="291" spans="2:14" x14ac:dyDescent="0.4">
      <c r="B291" s="7"/>
      <c r="C291" s="11" t="s">
        <v>130</v>
      </c>
      <c r="D291" s="7"/>
      <c r="E291" s="19"/>
      <c r="F291" s="19">
        <f t="shared" ref="F291:J291" si="37">F285+F164+F165+F166</f>
        <v>125215</v>
      </c>
      <c r="G291" s="19">
        <f>G285+G164+G165+G166</f>
        <v>132120.25</v>
      </c>
      <c r="H291" s="19">
        <f t="shared" si="37"/>
        <v>138694.03750000001</v>
      </c>
      <c r="I291" s="19">
        <f>I285+I164+I165+I166</f>
        <v>145758.014375</v>
      </c>
      <c r="J291" s="19">
        <f t="shared" si="37"/>
        <v>152359.61509375001</v>
      </c>
      <c r="K291" s="19">
        <f>K285+K164+K165+K166</f>
        <v>159969.59584843752</v>
      </c>
      <c r="L291" s="7"/>
      <c r="M291" s="7"/>
      <c r="N291" s="7"/>
    </row>
    <row r="292" spans="2:14" x14ac:dyDescent="0.4">
      <c r="B292" s="7"/>
      <c r="C292" s="11"/>
      <c r="D292" s="7"/>
      <c r="E292" s="7"/>
      <c r="F292" s="19"/>
      <c r="G292" s="19"/>
      <c r="H292" s="19"/>
      <c r="I292" s="19"/>
      <c r="J292" s="19"/>
      <c r="K292" s="19"/>
      <c r="L292" s="7"/>
      <c r="M292" s="7"/>
      <c r="N292" s="7"/>
    </row>
    <row r="293" spans="2:14" x14ac:dyDescent="0.4">
      <c r="B293" s="7"/>
      <c r="C293" s="11" t="s">
        <v>111</v>
      </c>
      <c r="D293" s="7"/>
      <c r="E293" s="19"/>
      <c r="F293" s="19"/>
      <c r="G293" s="19">
        <f>G291-F285+SUM(G308:G312)</f>
        <v>6905.25</v>
      </c>
      <c r="H293" s="19">
        <f>H291-G285+SUM(H308:H312)</f>
        <v>7218.2875000000058</v>
      </c>
      <c r="I293" s="19">
        <f>I291-H285+SUM(I308:I312)</f>
        <v>7708.476874999993</v>
      </c>
      <c r="J293" s="19">
        <f>J291-I285+SUM(J308:J312)</f>
        <v>7407.6007187500072</v>
      </c>
      <c r="K293" s="19">
        <f>K291-J285+SUM(K308:K312)</f>
        <v>7769.980754687509</v>
      </c>
      <c r="L293" s="7"/>
      <c r="M293" s="7"/>
      <c r="N293" s="7"/>
    </row>
    <row r="294" spans="2:14" x14ac:dyDescent="0.4">
      <c r="B294" s="7"/>
      <c r="C294" s="11"/>
      <c r="D294" s="7"/>
      <c r="E294" s="7"/>
      <c r="F294" s="23"/>
      <c r="G294" s="23"/>
      <c r="H294" s="23"/>
      <c r="I294" s="23"/>
      <c r="J294" s="23"/>
      <c r="K294" s="23"/>
      <c r="L294" s="7"/>
      <c r="M294" s="7"/>
      <c r="N294" s="7"/>
    </row>
    <row r="295" spans="2:14" x14ac:dyDescent="0.4">
      <c r="B295" s="7"/>
      <c r="C295" s="11" t="s">
        <v>75</v>
      </c>
      <c r="D295" s="7"/>
      <c r="E295" s="19"/>
      <c r="F295" s="19"/>
      <c r="G295" s="19">
        <f>SUM(G173:G175)</f>
        <v>5870.0568643258312</v>
      </c>
      <c r="H295" s="19">
        <f>SUM(H173:H175)</f>
        <v>4033.3947391881939</v>
      </c>
      <c r="I295" s="19">
        <f>SUM(I173:I175)</f>
        <v>4835.9356445393678</v>
      </c>
      <c r="J295" s="19">
        <f>SUM(J173:J175)</f>
        <v>3770.5591301883551</v>
      </c>
      <c r="K295" s="19">
        <f>SUM(K173:K175)</f>
        <v>3172.7102998657665</v>
      </c>
      <c r="L295" s="7"/>
      <c r="M295" s="19">
        <f>SUM(G295:K295)</f>
        <v>21682.656678107516</v>
      </c>
      <c r="N295" s="7"/>
    </row>
    <row r="296" spans="2:14" x14ac:dyDescent="0.4">
      <c r="B296" s="7"/>
      <c r="C296" s="11"/>
      <c r="D296" s="7"/>
      <c r="E296" s="7"/>
      <c r="F296" s="23"/>
      <c r="G296" s="23"/>
      <c r="H296" s="23"/>
      <c r="I296" s="23"/>
      <c r="J296" s="23"/>
      <c r="K296" s="23"/>
      <c r="L296" s="7"/>
      <c r="M296" s="7"/>
      <c r="N296" s="7"/>
    </row>
    <row r="297" spans="2:14" x14ac:dyDescent="0.4">
      <c r="B297" s="7"/>
      <c r="C297" s="11" t="s">
        <v>92</v>
      </c>
      <c r="D297" s="7"/>
      <c r="E297" s="7"/>
      <c r="F297" s="19"/>
      <c r="G297" s="19" cm="1">
        <f t="array" ref="G297">-SUM(-G305:G306,G313,G308:G312)</f>
        <v>0</v>
      </c>
      <c r="H297" s="19" cm="1">
        <f t="array" ref="H297">-SUM(-H305:H306,H313,H308:H312)</f>
        <v>0</v>
      </c>
      <c r="I297" s="19" cm="1">
        <f t="array" ref="I297">-SUM(-I305:I306,I313,I308:I312)</f>
        <v>0</v>
      </c>
      <c r="J297" s="19" cm="1">
        <f t="array" ref="J297">-SUM(-J305:J306,J313,J308:J312)</f>
        <v>0</v>
      </c>
      <c r="K297" s="19" cm="1">
        <f t="array" ref="K297">-SUM(-K305:K306,K313,K308:K312)</f>
        <v>0</v>
      </c>
      <c r="L297" s="7"/>
      <c r="M297" s="7"/>
      <c r="N297" s="7"/>
    </row>
    <row r="298" spans="2:14" x14ac:dyDescent="0.4">
      <c r="B298" s="7"/>
      <c r="C298" s="11" t="s">
        <v>112</v>
      </c>
      <c r="D298" s="7"/>
      <c r="E298" s="19"/>
      <c r="F298" s="19"/>
      <c r="G298" s="19">
        <f>G297+G295</f>
        <v>5870.0568643258312</v>
      </c>
      <c r="H298" s="19">
        <f>H297+H295</f>
        <v>4033.3947391881939</v>
      </c>
      <c r="I298" s="19">
        <f t="shared" ref="I298:K298" si="38">I297+I295</f>
        <v>4835.9356445393678</v>
      </c>
      <c r="J298" s="19">
        <f t="shared" si="38"/>
        <v>3770.5591301883551</v>
      </c>
      <c r="K298" s="19">
        <f t="shared" si="38"/>
        <v>3172.7102998657665</v>
      </c>
      <c r="L298" s="7"/>
      <c r="M298" s="7"/>
      <c r="N298" s="7"/>
    </row>
    <row r="299" spans="2:14" x14ac:dyDescent="0.4">
      <c r="B299" s="7"/>
      <c r="C299" s="11"/>
      <c r="D299" s="7"/>
      <c r="E299" s="7"/>
      <c r="F299" s="19"/>
      <c r="G299" s="19"/>
      <c r="H299" s="19"/>
      <c r="I299" s="19"/>
      <c r="J299" s="19"/>
      <c r="K299" s="19"/>
      <c r="L299" s="7"/>
      <c r="M299" s="7"/>
      <c r="N299" s="7"/>
    </row>
    <row r="300" spans="2:14" x14ac:dyDescent="0.4">
      <c r="B300" s="7"/>
      <c r="C300" s="11" t="s">
        <v>76</v>
      </c>
      <c r="D300" s="18"/>
      <c r="E300" s="18"/>
      <c r="F300" s="18">
        <f>F285</f>
        <v>125215</v>
      </c>
      <c r="G300" s="20">
        <f>G285+SUM($G289:G289)</f>
        <v>132120.25</v>
      </c>
      <c r="H300" s="20">
        <f>H285+SUM($G289:H289)</f>
        <v>139338.53750000001</v>
      </c>
      <c r="I300" s="20">
        <f>I285+SUM($G289:I289)</f>
        <v>147047.014375</v>
      </c>
      <c r="J300" s="20">
        <f>J285+SUM($G289:J289)</f>
        <v>154454.61509375001</v>
      </c>
      <c r="K300" s="20">
        <f>K285+SUM($G289:K289)</f>
        <v>162224.59584843752</v>
      </c>
      <c r="L300" s="7"/>
      <c r="M300" s="7"/>
      <c r="N300" s="7"/>
    </row>
    <row r="301" spans="2:14" x14ac:dyDescent="0.4">
      <c r="B301" s="7"/>
      <c r="C301" s="11" t="s">
        <v>77</v>
      </c>
      <c r="D301" s="7"/>
      <c r="E301" s="18"/>
      <c r="F301" s="18">
        <f>F300</f>
        <v>125215</v>
      </c>
      <c r="G301" s="19">
        <f>F301+G298</f>
        <v>131085.05686432583</v>
      </c>
      <c r="H301" s="19">
        <f>G301+H298</f>
        <v>135118.45160351403</v>
      </c>
      <c r="I301" s="19">
        <f>H301+I298</f>
        <v>139954.38724805339</v>
      </c>
      <c r="J301" s="19">
        <f t="shared" ref="J301:K301" si="39">I301+J298</f>
        <v>143724.94637824176</v>
      </c>
      <c r="K301" s="19">
        <f t="shared" si="39"/>
        <v>146897.65667810754</v>
      </c>
      <c r="L301" s="7"/>
      <c r="M301" s="7"/>
      <c r="N301" s="7"/>
    </row>
    <row r="302" spans="2:14" x14ac:dyDescent="0.4">
      <c r="B302" s="7"/>
      <c r="C302" s="11"/>
      <c r="D302" s="7"/>
      <c r="E302" s="7"/>
      <c r="F302" s="7"/>
      <c r="G302" s="19"/>
      <c r="H302" s="7"/>
      <c r="I302" s="7"/>
      <c r="J302" s="7"/>
      <c r="K302" s="7"/>
      <c r="L302" s="7"/>
      <c r="M302" s="7"/>
      <c r="N302" s="7"/>
    </row>
    <row r="303" spans="2:14" x14ac:dyDescent="0.4">
      <c r="B303" s="7"/>
      <c r="C303" s="11"/>
      <c r="D303" s="7"/>
      <c r="E303" s="7"/>
      <c r="F303" s="23"/>
      <c r="G303" s="23"/>
      <c r="H303" s="23"/>
      <c r="I303" s="23"/>
      <c r="J303" s="23"/>
      <c r="K303" s="23"/>
      <c r="L303" s="7"/>
      <c r="M303" s="7"/>
      <c r="N303" s="7"/>
    </row>
    <row r="304" spans="2:14" x14ac:dyDescent="0.4">
      <c r="B304" s="7"/>
      <c r="C304" s="11"/>
      <c r="D304" s="7"/>
      <c r="E304" s="7"/>
      <c r="F304" s="23"/>
      <c r="G304" s="23"/>
      <c r="H304" s="23"/>
      <c r="I304" s="23"/>
      <c r="J304" s="23"/>
      <c r="K304" s="23"/>
      <c r="L304" s="7"/>
      <c r="M304" s="7"/>
      <c r="N304" s="7"/>
    </row>
    <row r="305" spans="2:14" x14ac:dyDescent="0.4">
      <c r="B305" s="7"/>
      <c r="C305" s="11" t="s">
        <v>78</v>
      </c>
      <c r="D305" s="7"/>
      <c r="E305" s="7"/>
      <c r="F305" s="23"/>
      <c r="G305" s="23">
        <f t="shared" ref="G305:K306" si="40">G58</f>
        <v>0</v>
      </c>
      <c r="H305" s="23">
        <f t="shared" si="40"/>
        <v>0</v>
      </c>
      <c r="I305" s="23">
        <f t="shared" si="40"/>
        <v>0</v>
      </c>
      <c r="J305" s="23">
        <f t="shared" si="40"/>
        <v>0</v>
      </c>
      <c r="K305" s="23">
        <f t="shared" si="40"/>
        <v>0</v>
      </c>
      <c r="L305" s="7"/>
      <c r="M305" s="7"/>
      <c r="N305" s="7"/>
    </row>
    <row r="306" spans="2:14" x14ac:dyDescent="0.4">
      <c r="B306" s="7"/>
      <c r="C306" s="11" t="s">
        <v>79</v>
      </c>
      <c r="D306" s="7"/>
      <c r="E306" s="7"/>
      <c r="F306" s="23"/>
      <c r="G306" s="23">
        <f t="shared" si="40"/>
        <v>0</v>
      </c>
      <c r="H306" s="23">
        <f t="shared" si="40"/>
        <v>0</v>
      </c>
      <c r="I306" s="23">
        <f t="shared" si="40"/>
        <v>0</v>
      </c>
      <c r="J306" s="23">
        <f t="shared" si="40"/>
        <v>0</v>
      </c>
      <c r="K306" s="23">
        <f t="shared" si="40"/>
        <v>0</v>
      </c>
      <c r="L306" s="7"/>
      <c r="M306" s="7"/>
      <c r="N306" s="7"/>
    </row>
    <row r="307" spans="2:14" x14ac:dyDescent="0.4">
      <c r="B307" s="7"/>
      <c r="C307" s="11"/>
      <c r="D307" s="7"/>
      <c r="E307" s="7"/>
      <c r="F307" s="23"/>
      <c r="G307" s="23"/>
      <c r="H307" s="23"/>
      <c r="I307" s="23"/>
      <c r="J307" s="23"/>
      <c r="K307" s="23"/>
      <c r="L307" s="7"/>
      <c r="M307" s="7"/>
      <c r="N307" s="7"/>
    </row>
    <row r="308" spans="2:14" x14ac:dyDescent="0.4">
      <c r="B308" s="7"/>
      <c r="C308" s="11" t="s">
        <v>80</v>
      </c>
      <c r="D308" s="7"/>
      <c r="E308" s="7"/>
      <c r="F308" s="23"/>
      <c r="G308" s="23">
        <f>IF(G60&gt;0,G60,0)</f>
        <v>0</v>
      </c>
      <c r="H308" s="23">
        <f>IF(H60&gt;0,H60,0)</f>
        <v>0</v>
      </c>
      <c r="I308" s="23">
        <f>IF(I60&gt;0,I60,0)</f>
        <v>0</v>
      </c>
      <c r="J308" s="23">
        <f>IF(J60&gt;0,J60,0)</f>
        <v>0</v>
      </c>
      <c r="K308" s="23">
        <f>IF(K60&gt;0,K60,0)</f>
        <v>0</v>
      </c>
      <c r="L308" s="7"/>
      <c r="M308" s="7"/>
      <c r="N308" s="7"/>
    </row>
    <row r="309" spans="2:14" x14ac:dyDescent="0.4">
      <c r="B309" s="7"/>
      <c r="C309" s="11" t="s">
        <v>166</v>
      </c>
      <c r="D309" s="7"/>
      <c r="E309" s="7"/>
      <c r="F309" s="7"/>
      <c r="G309" s="7"/>
      <c r="H309" s="20">
        <f>$G$308*((1+H372%)*(1+HLOOKUP(H$6,Controls,MATCH($C$328,ControlsVariable,0)+MATCH($C$18,$C$321:$C$3267,0))%)-1)</f>
        <v>0</v>
      </c>
      <c r="I309" s="20">
        <f>$G$308*((1+I372%)*(1+HLOOKUP(I$6,Controls,MATCH($C$328,ControlsVariable,0)+MATCH($C$18,$C$321:$C$3267,0))%)-1)</f>
        <v>0</v>
      </c>
      <c r="J309" s="20">
        <f>$G$308*((1+J372%)*(1+HLOOKUP(J$6,Controls,MATCH($C$328,ControlsVariable,0)+MATCH($C$18,$C$321:$C$3267,0))%)-1)</f>
        <v>0</v>
      </c>
      <c r="K309" s="20">
        <f>$G$308*((1+K372%)*(1+HLOOKUP(K$6,Controls,MATCH($C$328,ControlsVariable,0)+MATCH($C$18,$C$321:$C$3267,0))%)-1)</f>
        <v>0</v>
      </c>
      <c r="L309" s="7"/>
      <c r="M309" s="7"/>
      <c r="N309" s="7"/>
    </row>
    <row r="310" spans="2:14" x14ac:dyDescent="0.4">
      <c r="B310" s="7"/>
      <c r="C310" s="11" t="s">
        <v>167</v>
      </c>
      <c r="D310" s="7"/>
      <c r="E310" s="7"/>
      <c r="F310" s="7"/>
      <c r="G310" s="7"/>
      <c r="H310" s="24"/>
      <c r="I310" s="20">
        <f>$H$308*((1+I372%)*(1+HLOOKUP(I$6,Controls,MATCH($C$328,ControlsVariable,0)+MATCH($C$18,$C$321:$C$3267,0))%)-1)</f>
        <v>0</v>
      </c>
      <c r="J310" s="20">
        <f>$H$308*((1+J372%)*(1+HLOOKUP(J$6,Controls,MATCH($C$328,ControlsVariable,0)+MATCH($C$18,$C$321:$C$3267,0))%)-1)</f>
        <v>0</v>
      </c>
      <c r="K310" s="20">
        <f>$H$308*((1+K372%)*(1+HLOOKUP(K$6,Controls,MATCH($C$328,ControlsVariable,0)+MATCH($C$18,$C$321:$C$3267,0))%)-1)</f>
        <v>0</v>
      </c>
      <c r="L310" s="7"/>
      <c r="M310" s="7"/>
      <c r="N310" s="7"/>
    </row>
    <row r="311" spans="2:14" x14ac:dyDescent="0.4">
      <c r="B311" s="7"/>
      <c r="C311" s="11" t="s">
        <v>168</v>
      </c>
      <c r="D311" s="7"/>
      <c r="E311" s="7"/>
      <c r="F311" s="7"/>
      <c r="G311" s="7"/>
      <c r="H311" s="24"/>
      <c r="I311" s="24"/>
      <c r="J311" s="20">
        <f>$I$308*((1+J372%)*(1+HLOOKUP(J$6,Controls,MATCH($C$328,ControlsVariable,0)+MATCH($C$18,$C$321:$C$3267,0))%)-1)</f>
        <v>0</v>
      </c>
      <c r="K311" s="20">
        <f>$I$308*((1+K372%)*(1+HLOOKUP(K$6,Controls,MATCH($C$328,ControlsVariable,0)+MATCH($C$18,$C$321:$C$3267,0))%)-1)</f>
        <v>0</v>
      </c>
      <c r="L311" s="7"/>
      <c r="M311" s="7"/>
      <c r="N311" s="7"/>
    </row>
    <row r="312" spans="2:14" x14ac:dyDescent="0.4">
      <c r="B312" s="7"/>
      <c r="C312" s="11" t="s">
        <v>170</v>
      </c>
      <c r="D312" s="7"/>
      <c r="E312" s="7"/>
      <c r="F312" s="7"/>
      <c r="G312" s="7"/>
      <c r="H312" s="24"/>
      <c r="I312" s="24"/>
      <c r="J312" s="20"/>
      <c r="K312" s="20">
        <f>$J$308*((1+K372%)*(1+HLOOKUP(K$6,Controls,MATCH($C$328,ControlsVariable,0)+MATCH($C$18,$C$321:$C$3267,0))%)-1)</f>
        <v>0</v>
      </c>
      <c r="L312" s="7"/>
      <c r="M312" s="7"/>
      <c r="N312" s="7"/>
    </row>
    <row r="313" spans="2:14" x14ac:dyDescent="0.4">
      <c r="B313" s="7"/>
      <c r="C313" s="11" t="s">
        <v>81</v>
      </c>
      <c r="D313" s="7"/>
      <c r="E313" s="7"/>
      <c r="F313" s="23"/>
      <c r="G313" s="23">
        <f>IF(G60&lt;=0,G60,0)</f>
        <v>0</v>
      </c>
      <c r="H313" s="23">
        <f>IF(H60&lt;=0,H60,0)</f>
        <v>0</v>
      </c>
      <c r="I313" s="23">
        <f>IF(I60&lt;=0,I60,0)</f>
        <v>0</v>
      </c>
      <c r="J313" s="23">
        <f>IF(J60&lt;=0,J60,0)</f>
        <v>0</v>
      </c>
      <c r="K313" s="23">
        <f>IF(K60&lt;=0,K60,0)</f>
        <v>0</v>
      </c>
      <c r="L313" s="7"/>
      <c r="M313" s="7"/>
      <c r="N313" s="7"/>
    </row>
    <row r="314" spans="2:14" x14ac:dyDescent="0.4">
      <c r="B314" s="7"/>
      <c r="C314" s="11"/>
      <c r="D314" s="7"/>
      <c r="E314" s="7"/>
      <c r="F314" s="7"/>
      <c r="G314" s="7"/>
      <c r="H314" s="7"/>
      <c r="I314" s="7"/>
      <c r="J314" s="7"/>
      <c r="K314" s="7"/>
      <c r="L314" s="7"/>
      <c r="M314" s="7"/>
      <c r="N314" s="7"/>
    </row>
    <row r="315" spans="2:14" x14ac:dyDescent="0.4">
      <c r="B315" s="7"/>
      <c r="C315" s="11" t="s">
        <v>113</v>
      </c>
      <c r="D315" s="7"/>
      <c r="E315" s="7"/>
      <c r="F315" s="20"/>
      <c r="G315" s="20">
        <f>G293-G298</f>
        <v>1035.1931356741688</v>
      </c>
      <c r="H315" s="20">
        <f>H293-H298</f>
        <v>3184.892760811812</v>
      </c>
      <c r="I315" s="20">
        <f>I293-I298</f>
        <v>2872.5412304606252</v>
      </c>
      <c r="J315" s="20">
        <f>J293-J298</f>
        <v>3637.0415885616521</v>
      </c>
      <c r="K315" s="20">
        <f>K293-K298</f>
        <v>4597.2704548217425</v>
      </c>
      <c r="L315" s="7"/>
      <c r="M315" s="7"/>
      <c r="N315" s="7"/>
    </row>
    <row r="316" spans="2:14" x14ac:dyDescent="0.4">
      <c r="B316" s="7"/>
      <c r="C316" s="11"/>
      <c r="D316" s="7"/>
      <c r="E316" s="7"/>
      <c r="F316" s="25"/>
      <c r="G316" s="25"/>
      <c r="H316" s="25"/>
      <c r="I316" s="25"/>
      <c r="J316" s="25"/>
      <c r="K316" s="25"/>
      <c r="L316" s="7"/>
      <c r="M316" s="7"/>
      <c r="N316" s="7"/>
    </row>
    <row r="317" spans="2:14" x14ac:dyDescent="0.4">
      <c r="B317" s="7"/>
      <c r="C317" s="7"/>
      <c r="D317" s="7"/>
      <c r="E317" s="7"/>
      <c r="F317" s="7"/>
      <c r="G317" s="7"/>
      <c r="H317" s="7"/>
      <c r="I317" s="7"/>
      <c r="J317" s="7"/>
      <c r="K317" s="7"/>
      <c r="L317" s="7"/>
      <c r="M317" s="7"/>
      <c r="N317" s="7"/>
    </row>
    <row r="318" spans="2:14" ht="22.9" x14ac:dyDescent="0.65">
      <c r="B318" s="7"/>
      <c r="C318" s="9" t="s">
        <v>82</v>
      </c>
      <c r="D318" s="26">
        <v>2023</v>
      </c>
      <c r="E318" s="26">
        <v>2024</v>
      </c>
      <c r="F318" s="26">
        <f>E318+1</f>
        <v>2025</v>
      </c>
      <c r="G318" s="26">
        <f t="shared" ref="G318" si="41">F318+1</f>
        <v>2026</v>
      </c>
      <c r="H318" s="26">
        <f t="shared" ref="H318" si="42">G318+1</f>
        <v>2027</v>
      </c>
      <c r="I318" s="26">
        <f t="shared" ref="I318" si="43">H318+1</f>
        <v>2028</v>
      </c>
      <c r="J318" s="26">
        <f t="shared" ref="J318" si="44">I318+1</f>
        <v>2029</v>
      </c>
      <c r="K318" s="26">
        <f t="shared" ref="K318" si="45">J318+1</f>
        <v>2030</v>
      </c>
      <c r="L318" s="7"/>
      <c r="M318" s="7"/>
      <c r="N318" s="7"/>
    </row>
    <row r="319" spans="2:14" x14ac:dyDescent="0.4">
      <c r="B319" s="7"/>
      <c r="C319" s="26" t="s">
        <v>83</v>
      </c>
      <c r="D319" s="27"/>
      <c r="E319" s="27"/>
      <c r="F319" s="27"/>
      <c r="G319" s="27"/>
      <c r="H319" s="27"/>
      <c r="I319" s="27"/>
      <c r="J319" s="23"/>
      <c r="K319" s="23"/>
      <c r="L319" s="7"/>
      <c r="M319" s="7"/>
      <c r="N319" s="7"/>
    </row>
    <row r="320" spans="2:14" x14ac:dyDescent="0.4">
      <c r="B320" s="7"/>
      <c r="C320" s="27" t="s">
        <v>5</v>
      </c>
      <c r="D320" s="27"/>
      <c r="E320" s="27"/>
      <c r="F320" s="27"/>
      <c r="G320" s="27"/>
      <c r="H320" s="27"/>
      <c r="I320" s="27"/>
      <c r="J320" s="23"/>
      <c r="K320" s="23"/>
      <c r="L320" s="7"/>
      <c r="M320" s="7"/>
      <c r="N320" s="7"/>
    </row>
    <row r="321" spans="2:14" x14ac:dyDescent="0.4">
      <c r="B321" s="7"/>
      <c r="C321" s="27" t="s">
        <v>89</v>
      </c>
      <c r="D321" s="28">
        <v>1.8108054270438596</v>
      </c>
      <c r="E321" s="28">
        <v>2.00530677387012</v>
      </c>
      <c r="F321" s="28">
        <v>1.8811666333282318</v>
      </c>
      <c r="G321" s="28">
        <v>2.4430729708939127</v>
      </c>
      <c r="H321" s="28">
        <v>2.3720220684362769</v>
      </c>
      <c r="I321" s="28">
        <v>2.3396819074913924</v>
      </c>
      <c r="J321" s="28">
        <v>2.1285238234164772</v>
      </c>
      <c r="K321" s="28">
        <v>2.079450758097114</v>
      </c>
      <c r="L321" s="7"/>
      <c r="M321" s="7"/>
      <c r="N321" s="7"/>
    </row>
    <row r="322" spans="2:14" x14ac:dyDescent="0.4">
      <c r="B322" s="7"/>
      <c r="C322" s="27" t="s">
        <v>116</v>
      </c>
      <c r="D322" s="28">
        <v>4.9636862824416816</v>
      </c>
      <c r="E322" s="28">
        <v>4.9230501132016293</v>
      </c>
      <c r="F322" s="28">
        <v>2.6030546782980739</v>
      </c>
      <c r="G322" s="28">
        <v>2.7731909871639053</v>
      </c>
      <c r="H322" s="28">
        <v>2.4720220684362801</v>
      </c>
      <c r="I322" s="28">
        <v>2.3396819074913924</v>
      </c>
      <c r="J322" s="29">
        <v>2.16</v>
      </c>
      <c r="K322" s="29">
        <v>2.17</v>
      </c>
      <c r="L322" s="7"/>
      <c r="M322" s="7"/>
      <c r="N322" s="7"/>
    </row>
    <row r="323" spans="2:14" x14ac:dyDescent="0.4">
      <c r="B323" s="7"/>
      <c r="C323" s="27"/>
      <c r="D323" s="28"/>
      <c r="E323" s="28"/>
      <c r="F323" s="28"/>
      <c r="G323" s="28"/>
      <c r="H323" s="28"/>
      <c r="I323" s="28"/>
      <c r="J323" s="29"/>
      <c r="K323" s="29"/>
      <c r="L323" s="7"/>
      <c r="M323" s="7"/>
      <c r="N323" s="7"/>
    </row>
    <row r="324" spans="2:14" x14ac:dyDescent="0.4">
      <c r="B324" s="7"/>
      <c r="C324" s="27" t="s">
        <v>6</v>
      </c>
      <c r="D324" s="28"/>
      <c r="E324" s="28"/>
      <c r="F324" s="28"/>
      <c r="G324" s="28"/>
      <c r="H324" s="28"/>
      <c r="I324" s="28"/>
      <c r="J324" s="29"/>
      <c r="K324" s="29"/>
      <c r="L324" s="7"/>
      <c r="M324" s="7"/>
      <c r="N324" s="7"/>
    </row>
    <row r="325" spans="2:14" x14ac:dyDescent="0.4">
      <c r="B325" s="7"/>
      <c r="C325" s="27" t="s">
        <v>89</v>
      </c>
      <c r="D325" s="28">
        <v>6.4250004303436858</v>
      </c>
      <c r="E325" s="28">
        <v>5.3734486862528685</v>
      </c>
      <c r="F325" s="28">
        <v>4.5871935253856133</v>
      </c>
      <c r="G325" s="28">
        <v>4.8836638413020328</v>
      </c>
      <c r="H325" s="28">
        <v>4.7593108421497554</v>
      </c>
      <c r="I325" s="28">
        <v>4.6910059613499699</v>
      </c>
      <c r="J325" s="28">
        <v>4.4830782528106683</v>
      </c>
      <c r="K325" s="28">
        <v>4.4104802501972129</v>
      </c>
      <c r="L325" s="7"/>
      <c r="M325" s="7"/>
      <c r="N325" s="7"/>
    </row>
    <row r="326" spans="2:14" x14ac:dyDescent="0.4">
      <c r="B326" s="7"/>
      <c r="C326" s="27" t="s">
        <v>116</v>
      </c>
      <c r="D326" s="28">
        <v>8.9718667011263022</v>
      </c>
      <c r="E326" s="28">
        <v>8.0707416165976724</v>
      </c>
      <c r="F326" s="28">
        <v>5.2707340999338186</v>
      </c>
      <c r="G326" s="28">
        <v>5.3351668951216595</v>
      </c>
      <c r="H326" s="28">
        <v>5.009495820135129</v>
      </c>
      <c r="I326" s="28">
        <v>4.8768919197673739</v>
      </c>
      <c r="J326" s="29">
        <v>4.5266647788426013</v>
      </c>
      <c r="K326" s="29">
        <v>4.5477463592751945</v>
      </c>
      <c r="L326" s="7"/>
      <c r="M326" s="7"/>
      <c r="N326" s="7"/>
    </row>
    <row r="327" spans="2:14" x14ac:dyDescent="0.4">
      <c r="B327" s="7"/>
      <c r="C327" s="27"/>
      <c r="D327" s="28"/>
      <c r="E327" s="28"/>
      <c r="F327" s="28"/>
      <c r="G327" s="28"/>
      <c r="H327" s="28"/>
      <c r="I327" s="28"/>
      <c r="J327" s="29"/>
      <c r="K327" s="29"/>
      <c r="L327" s="7"/>
      <c r="M327" s="7"/>
      <c r="N327" s="7"/>
    </row>
    <row r="328" spans="2:14" x14ac:dyDescent="0.4">
      <c r="B328" s="7"/>
      <c r="C328" s="27" t="s">
        <v>7</v>
      </c>
      <c r="D328" s="28"/>
      <c r="E328" s="28"/>
      <c r="F328" s="28"/>
      <c r="G328" s="28"/>
      <c r="H328" s="28"/>
      <c r="I328" s="28"/>
      <c r="J328" s="29"/>
      <c r="K328" s="29"/>
      <c r="L328" s="7"/>
      <c r="M328" s="7"/>
      <c r="N328" s="7"/>
    </row>
    <row r="329" spans="2:14" x14ac:dyDescent="0.4">
      <c r="B329" s="7"/>
      <c r="C329" s="27" t="s">
        <v>89</v>
      </c>
      <c r="D329" s="28">
        <v>5.2</v>
      </c>
      <c r="E329" s="28">
        <v>2.1105580018159698</v>
      </c>
      <c r="F329" s="28">
        <v>2.092701348554475</v>
      </c>
      <c r="G329" s="28">
        <v>1.9846408658983559</v>
      </c>
      <c r="H329" s="28">
        <v>1.9808343538625226</v>
      </c>
      <c r="I329" s="28">
        <v>1.9525247005389705</v>
      </c>
      <c r="J329" s="28">
        <v>1.9927942053195398</v>
      </c>
      <c r="K329" s="28">
        <v>1.9873527085391383</v>
      </c>
      <c r="L329" s="7"/>
      <c r="M329" s="7"/>
      <c r="N329" s="7"/>
    </row>
    <row r="330" spans="2:14" x14ac:dyDescent="0.4">
      <c r="B330" s="7"/>
      <c r="C330" s="27" t="s">
        <v>116</v>
      </c>
      <c r="D330" s="28">
        <v>5.2</v>
      </c>
      <c r="E330" s="28">
        <v>1.672975765464559</v>
      </c>
      <c r="F330" s="28">
        <v>1.9354787199834873</v>
      </c>
      <c r="G330" s="28">
        <v>2.0449030970625208</v>
      </c>
      <c r="H330" s="28">
        <v>2.0176521255235702</v>
      </c>
      <c r="I330" s="28">
        <v>2.0115651756130775</v>
      </c>
      <c r="J330" s="29">
        <v>2.0318549363914502</v>
      </c>
      <c r="K330" s="29">
        <v>2.0170942252842607</v>
      </c>
      <c r="L330" s="7"/>
      <c r="M330" s="7"/>
      <c r="N330" s="7"/>
    </row>
    <row r="331" spans="2:14" x14ac:dyDescent="0.4">
      <c r="B331" s="7"/>
      <c r="C331" s="27"/>
      <c r="D331" s="27"/>
      <c r="E331" s="27"/>
      <c r="F331" s="27"/>
      <c r="G331" s="27"/>
      <c r="H331" s="27"/>
      <c r="I331" s="27"/>
      <c r="J331" s="23"/>
      <c r="K331" s="23"/>
      <c r="L331" s="7"/>
      <c r="M331" s="7"/>
      <c r="N331" s="7"/>
    </row>
    <row r="332" spans="2:14" x14ac:dyDescent="0.4">
      <c r="B332" s="7"/>
      <c r="C332" s="27" t="s">
        <v>107</v>
      </c>
      <c r="D332" s="28"/>
      <c r="E332" s="28"/>
      <c r="F332" s="28"/>
      <c r="G332" s="28"/>
      <c r="H332" s="28"/>
      <c r="I332" s="28"/>
      <c r="J332" s="29"/>
      <c r="K332" s="29"/>
      <c r="L332" s="7"/>
      <c r="M332" s="7"/>
      <c r="N332" s="7"/>
    </row>
    <row r="333" spans="2:14" x14ac:dyDescent="0.4">
      <c r="B333" s="7"/>
      <c r="C333" s="27" t="s">
        <v>89</v>
      </c>
      <c r="D333" s="28">
        <v>6.0891551092162075</v>
      </c>
      <c r="E333" s="28">
        <v>5.0798682390597154</v>
      </c>
      <c r="F333" s="28">
        <v>4.2519213835204495</v>
      </c>
      <c r="G333" s="28">
        <v>3.9085994768934795</v>
      </c>
      <c r="H333" s="28">
        <v>3.8985850716337582</v>
      </c>
      <c r="I333" s="28">
        <v>3.8949444914781859</v>
      </c>
      <c r="J333" s="28">
        <v>3.7418531374727797</v>
      </c>
      <c r="K333" s="28">
        <v>3.6959862777028478</v>
      </c>
      <c r="L333" s="7"/>
      <c r="M333" s="7"/>
      <c r="N333" s="7"/>
    </row>
    <row r="334" spans="2:14" x14ac:dyDescent="0.4">
      <c r="B334" s="7"/>
      <c r="C334" s="27" t="s">
        <v>116</v>
      </c>
      <c r="D334" s="28">
        <v>8.4361865637769782</v>
      </c>
      <c r="E334" s="28">
        <v>5.128670764741238</v>
      </c>
      <c r="F334" s="28">
        <v>3.9201013160706828</v>
      </c>
      <c r="G334" s="28">
        <v>4.0403669781283895</v>
      </c>
      <c r="H334" s="28">
        <v>3.9058971495194008</v>
      </c>
      <c r="I334" s="28">
        <v>3.862806568809543</v>
      </c>
      <c r="J334" s="29">
        <v>3.8198281854071885</v>
      </c>
      <c r="K334" s="29">
        <v>3.7028229291566497</v>
      </c>
      <c r="L334" s="7"/>
      <c r="M334" s="7"/>
      <c r="N334" s="7"/>
    </row>
    <row r="335" spans="2:14" x14ac:dyDescent="0.4">
      <c r="B335" s="7"/>
      <c r="C335" s="27"/>
      <c r="D335" s="27"/>
      <c r="E335" s="27"/>
      <c r="F335" s="27"/>
      <c r="G335" s="27"/>
      <c r="H335" s="27"/>
      <c r="I335" s="27"/>
      <c r="J335" s="23"/>
      <c r="K335" s="23"/>
      <c r="L335" s="7"/>
      <c r="M335" s="7"/>
      <c r="N335" s="7"/>
    </row>
    <row r="336" spans="2:14" x14ac:dyDescent="0.4">
      <c r="B336" s="7"/>
      <c r="C336" s="26" t="s">
        <v>114</v>
      </c>
      <c r="D336" s="27"/>
      <c r="E336" s="27"/>
      <c r="F336" s="27"/>
      <c r="G336" s="27"/>
      <c r="H336" s="27"/>
      <c r="I336" s="27"/>
      <c r="J336" s="23"/>
      <c r="K336" s="23"/>
      <c r="L336" s="7"/>
      <c r="M336" s="7"/>
      <c r="N336" s="7"/>
    </row>
    <row r="337" spans="2:14" x14ac:dyDescent="0.4">
      <c r="B337" s="7"/>
      <c r="C337" s="27" t="s">
        <v>26</v>
      </c>
      <c r="D337" s="30"/>
      <c r="E337" s="30"/>
      <c r="F337" s="30"/>
      <c r="G337" s="30"/>
      <c r="H337" s="30"/>
      <c r="I337" s="30"/>
      <c r="J337" s="31"/>
      <c r="K337" s="31"/>
      <c r="L337" s="7"/>
      <c r="M337" s="7"/>
      <c r="N337" s="7"/>
    </row>
    <row r="338" spans="2:14" x14ac:dyDescent="0.4">
      <c r="B338" s="7"/>
      <c r="C338" s="27" t="s">
        <v>89</v>
      </c>
      <c r="D338" s="30">
        <v>123715</v>
      </c>
      <c r="E338" s="30">
        <v>130135</v>
      </c>
      <c r="F338" s="30">
        <v>137240</v>
      </c>
      <c r="G338" s="30">
        <v>141830</v>
      </c>
      <c r="H338" s="30">
        <v>148625</v>
      </c>
      <c r="I338" s="30">
        <f>H338*1.047</f>
        <v>155610.375</v>
      </c>
      <c r="J338" s="30">
        <f>I338*1.045</f>
        <v>162612.84187499998</v>
      </c>
      <c r="K338" s="30">
        <f>J338*1.045</f>
        <v>169930.41975937499</v>
      </c>
      <c r="L338" s="7"/>
      <c r="M338" s="7"/>
      <c r="N338" s="7"/>
    </row>
    <row r="339" spans="2:14" x14ac:dyDescent="0.4">
      <c r="B339" s="7"/>
      <c r="C339" s="27" t="s">
        <v>116</v>
      </c>
      <c r="D339" s="30">
        <v>123715</v>
      </c>
      <c r="E339" s="30">
        <v>148995</v>
      </c>
      <c r="F339" s="30">
        <v>140990</v>
      </c>
      <c r="G339" s="30">
        <v>147290</v>
      </c>
      <c r="H339" s="30">
        <v>152870</v>
      </c>
      <c r="I339" s="30">
        <v>163640</v>
      </c>
      <c r="J339" s="31">
        <v>171215</v>
      </c>
      <c r="K339" s="31">
        <v>178180</v>
      </c>
      <c r="L339" s="7"/>
      <c r="M339" s="7"/>
      <c r="N339" s="7"/>
    </row>
    <row r="340" spans="2:14" x14ac:dyDescent="0.4">
      <c r="B340" s="7"/>
      <c r="C340" s="27"/>
      <c r="D340" s="30"/>
      <c r="E340" s="30"/>
      <c r="F340" s="30"/>
      <c r="G340" s="30"/>
      <c r="H340" s="30"/>
      <c r="I340" s="30"/>
      <c r="J340" s="31"/>
      <c r="K340" s="31"/>
      <c r="L340" s="7"/>
      <c r="M340" s="7"/>
      <c r="N340" s="7"/>
    </row>
    <row r="341" spans="2:14" x14ac:dyDescent="0.4">
      <c r="B341" s="7"/>
      <c r="C341" s="27" t="s">
        <v>36</v>
      </c>
      <c r="D341" s="30"/>
      <c r="E341" s="30"/>
      <c r="F341" s="30"/>
      <c r="G341" s="30"/>
      <c r="H341" s="30"/>
      <c r="I341" s="30"/>
      <c r="J341" s="31"/>
      <c r="K341" s="31"/>
      <c r="L341" s="7"/>
      <c r="M341" s="7"/>
      <c r="N341" s="7"/>
    </row>
    <row r="342" spans="2:14" x14ac:dyDescent="0.4">
      <c r="B342" s="7"/>
      <c r="C342" s="27" t="s">
        <v>89</v>
      </c>
      <c r="D342" s="30">
        <v>3486</v>
      </c>
      <c r="E342" s="30">
        <v>3350</v>
      </c>
      <c r="F342" s="30">
        <v>3270</v>
      </c>
      <c r="G342" s="30">
        <v>3515</v>
      </c>
      <c r="H342" s="30">
        <v>3970</v>
      </c>
      <c r="I342" s="30">
        <f>H342</f>
        <v>3970</v>
      </c>
      <c r="J342" s="30">
        <f>I342</f>
        <v>3970</v>
      </c>
      <c r="K342" s="30">
        <f>J342</f>
        <v>3970</v>
      </c>
      <c r="L342" s="7"/>
      <c r="M342" s="7"/>
      <c r="N342" s="7"/>
    </row>
    <row r="343" spans="2:14" x14ac:dyDescent="0.4">
      <c r="B343" s="7"/>
      <c r="C343" s="27" t="s">
        <v>116</v>
      </c>
      <c r="D343" s="30">
        <v>3486</v>
      </c>
      <c r="E343" s="30">
        <v>3130</v>
      </c>
      <c r="F343" s="30">
        <v>3495</v>
      </c>
      <c r="G343" s="30">
        <v>3300</v>
      </c>
      <c r="H343" s="30">
        <v>3770</v>
      </c>
      <c r="I343" s="30">
        <v>4240</v>
      </c>
      <c r="J343" s="31">
        <v>4820</v>
      </c>
      <c r="K343" s="31">
        <v>5360</v>
      </c>
      <c r="L343" s="7"/>
      <c r="M343" s="7"/>
      <c r="N343" s="7"/>
    </row>
    <row r="344" spans="2:14" x14ac:dyDescent="0.4">
      <c r="B344" s="7"/>
      <c r="C344" s="27"/>
      <c r="D344" s="30"/>
      <c r="E344" s="30"/>
      <c r="F344" s="30"/>
      <c r="G344" s="30"/>
      <c r="H344" s="30"/>
      <c r="I344" s="30"/>
      <c r="J344" s="31"/>
      <c r="K344" s="31"/>
      <c r="L344" s="7"/>
      <c r="M344" s="7"/>
      <c r="N344" s="7"/>
    </row>
    <row r="345" spans="2:14" x14ac:dyDescent="0.4">
      <c r="B345" s="7"/>
      <c r="C345" s="27" t="s">
        <v>31</v>
      </c>
      <c r="D345" s="30"/>
      <c r="E345" s="30"/>
      <c r="F345" s="30"/>
      <c r="G345" s="30"/>
      <c r="H345" s="32"/>
      <c r="I345" s="30"/>
      <c r="J345" s="31"/>
      <c r="K345" s="31"/>
      <c r="L345" s="7"/>
      <c r="M345" s="7"/>
      <c r="N345" s="7"/>
    </row>
    <row r="346" spans="2:14" x14ac:dyDescent="0.4">
      <c r="B346" s="7"/>
      <c r="C346" s="27" t="s">
        <v>89</v>
      </c>
      <c r="D346" s="30">
        <v>111901</v>
      </c>
      <c r="E346" s="30">
        <v>118240</v>
      </c>
      <c r="F346" s="30">
        <v>124235</v>
      </c>
      <c r="G346" s="30">
        <v>129620</v>
      </c>
      <c r="H346" s="30">
        <v>133945</v>
      </c>
      <c r="I346" s="30">
        <f>H346*1.05</f>
        <v>140642.25</v>
      </c>
      <c r="J346" s="30">
        <f>I346*1.05</f>
        <v>147674.36250000002</v>
      </c>
      <c r="K346" s="30">
        <f>J346*1.05</f>
        <v>155058.08062500003</v>
      </c>
      <c r="L346" s="7"/>
      <c r="M346" s="7"/>
      <c r="N346" s="7"/>
    </row>
    <row r="347" spans="2:14" x14ac:dyDescent="0.4">
      <c r="B347" s="7"/>
      <c r="C347" s="27" t="s">
        <v>116</v>
      </c>
      <c r="D347" s="30">
        <v>111895</v>
      </c>
      <c r="E347" s="30">
        <v>122200</v>
      </c>
      <c r="F347" s="30">
        <v>127795</v>
      </c>
      <c r="G347" s="30">
        <v>135650</v>
      </c>
      <c r="H347" s="30">
        <v>141975</v>
      </c>
      <c r="I347" s="30">
        <v>149080</v>
      </c>
      <c r="J347" s="31">
        <v>155935</v>
      </c>
      <c r="K347" s="31">
        <v>162435</v>
      </c>
      <c r="L347" s="7"/>
      <c r="M347" s="7"/>
      <c r="N347" s="7"/>
    </row>
    <row r="348" spans="2:14" x14ac:dyDescent="0.4">
      <c r="B348" s="7"/>
      <c r="C348" s="27"/>
      <c r="D348" s="30"/>
      <c r="E348" s="30"/>
      <c r="F348" s="30"/>
      <c r="G348" s="30"/>
      <c r="H348" s="30"/>
      <c r="I348" s="30"/>
      <c r="J348" s="31"/>
      <c r="K348" s="31"/>
      <c r="L348" s="7"/>
      <c r="M348" s="7"/>
      <c r="N348" s="7"/>
    </row>
    <row r="349" spans="2:14" x14ac:dyDescent="0.4">
      <c r="B349" s="7"/>
      <c r="C349" s="27" t="s">
        <v>9</v>
      </c>
      <c r="D349" s="27"/>
      <c r="E349" s="27"/>
      <c r="F349" s="27"/>
      <c r="G349" s="27"/>
      <c r="H349" s="27"/>
      <c r="I349" s="27"/>
      <c r="J349" s="23"/>
      <c r="K349" s="23"/>
      <c r="L349" s="7"/>
      <c r="M349" s="7"/>
      <c r="N349" s="7"/>
    </row>
    <row r="350" spans="2:14" x14ac:dyDescent="0.4">
      <c r="B350" s="7"/>
      <c r="C350" s="27" t="s">
        <v>10</v>
      </c>
      <c r="D350" s="27"/>
      <c r="E350" s="27"/>
      <c r="F350" s="33"/>
      <c r="G350" s="33">
        <v>319.37188476355817</v>
      </c>
      <c r="H350" s="33">
        <v>398.33049185612271</v>
      </c>
      <c r="I350" s="33">
        <v>427.13128917757422</v>
      </c>
      <c r="J350" s="33">
        <v>453.0993525733636</v>
      </c>
      <c r="K350" s="33">
        <v>471.69969186777507</v>
      </c>
      <c r="L350" s="7"/>
      <c r="M350" s="7"/>
      <c r="N350" s="7"/>
    </row>
    <row r="351" spans="2:14" x14ac:dyDescent="0.4">
      <c r="B351" s="7"/>
      <c r="C351" s="27" t="s">
        <v>84</v>
      </c>
      <c r="D351" s="27"/>
      <c r="E351" s="27"/>
      <c r="F351" s="27"/>
      <c r="G351" s="27">
        <v>0</v>
      </c>
      <c r="H351" s="27">
        <v>0</v>
      </c>
      <c r="I351" s="27">
        <v>0</v>
      </c>
      <c r="J351" s="27">
        <v>0</v>
      </c>
      <c r="K351" s="27">
        <v>0</v>
      </c>
      <c r="L351" s="7"/>
      <c r="M351" s="7"/>
      <c r="N351" s="7"/>
    </row>
    <row r="352" spans="2:14" x14ac:dyDescent="0.4">
      <c r="B352" s="7"/>
      <c r="C352" s="27"/>
      <c r="D352" s="27"/>
      <c r="E352" s="27"/>
      <c r="F352" s="27"/>
      <c r="G352" s="27"/>
      <c r="H352" s="27"/>
      <c r="I352" s="27"/>
      <c r="J352" s="27"/>
      <c r="K352" s="27"/>
      <c r="L352" s="7"/>
      <c r="M352" s="7"/>
      <c r="N352" s="7"/>
    </row>
    <row r="353" spans="2:14" x14ac:dyDescent="0.4">
      <c r="B353" s="7"/>
      <c r="C353" s="27" t="s">
        <v>11</v>
      </c>
      <c r="D353" s="27"/>
      <c r="E353" s="27"/>
      <c r="F353" s="27"/>
      <c r="G353" s="27"/>
      <c r="H353" s="27"/>
      <c r="I353" s="27"/>
      <c r="J353" s="27"/>
      <c r="K353" s="27"/>
      <c r="L353" s="7"/>
      <c r="M353" s="7"/>
      <c r="N353" s="7"/>
    </row>
    <row r="354" spans="2:14" x14ac:dyDescent="0.4">
      <c r="B354" s="7"/>
      <c r="C354" s="27" t="s">
        <v>10</v>
      </c>
      <c r="D354" s="27"/>
      <c r="E354" s="27"/>
      <c r="F354" s="33"/>
      <c r="G354" s="33">
        <v>748.97656315222753</v>
      </c>
      <c r="H354" s="33">
        <v>760.51956681130832</v>
      </c>
      <c r="I354" s="33">
        <v>812.1313189701475</v>
      </c>
      <c r="J354" s="33">
        <v>866.22329540256226</v>
      </c>
      <c r="K354" s="33">
        <v>901.81583113403622</v>
      </c>
      <c r="L354" s="7"/>
      <c r="M354" s="7"/>
      <c r="N354" s="7"/>
    </row>
    <row r="355" spans="2:14" x14ac:dyDescent="0.4">
      <c r="B355" s="7"/>
      <c r="C355" s="27" t="s">
        <v>84</v>
      </c>
      <c r="D355" s="27"/>
      <c r="E355" s="27"/>
      <c r="F355" s="27"/>
      <c r="G355" s="27">
        <v>0</v>
      </c>
      <c r="H355" s="27">
        <v>0</v>
      </c>
      <c r="I355" s="27">
        <v>0</v>
      </c>
      <c r="J355" s="27">
        <v>0</v>
      </c>
      <c r="K355" s="27">
        <v>0</v>
      </c>
      <c r="L355" s="7"/>
      <c r="M355" s="7"/>
      <c r="N355" s="7"/>
    </row>
    <row r="356" spans="2:14" x14ac:dyDescent="0.4">
      <c r="B356" s="7"/>
      <c r="C356" s="27"/>
      <c r="D356" s="27"/>
      <c r="E356" s="27"/>
      <c r="F356" s="27"/>
      <c r="G356" s="27"/>
      <c r="H356" s="27"/>
      <c r="I356" s="27"/>
      <c r="J356" s="27"/>
      <c r="K356" s="27"/>
      <c r="L356" s="7"/>
      <c r="M356" s="7"/>
      <c r="N356" s="7"/>
    </row>
    <row r="357" spans="2:14" x14ac:dyDescent="0.4">
      <c r="B357" s="7"/>
      <c r="C357" s="27" t="s">
        <v>87</v>
      </c>
      <c r="D357" s="27"/>
      <c r="E357" s="27"/>
      <c r="F357" s="27"/>
      <c r="G357" s="27"/>
      <c r="H357" s="27"/>
      <c r="I357" s="27"/>
      <c r="J357" s="27"/>
      <c r="K357" s="27"/>
      <c r="L357" s="7"/>
      <c r="M357" s="7"/>
      <c r="N357" s="7"/>
    </row>
    <row r="358" spans="2:14" x14ac:dyDescent="0.4">
      <c r="B358" s="7"/>
      <c r="C358" s="27" t="s">
        <v>10</v>
      </c>
      <c r="D358" s="27"/>
      <c r="E358" s="27"/>
      <c r="F358" s="33"/>
      <c r="G358" s="33">
        <f t="shared" ref="G358:K358" si="46">G378</f>
        <v>1634.4251109710306</v>
      </c>
      <c r="H358" s="33">
        <f t="shared" si="46"/>
        <v>1507.8134487993166</v>
      </c>
      <c r="I358" s="33">
        <f t="shared" si="46"/>
        <v>1819.2562495559621</v>
      </c>
      <c r="J358" s="33">
        <f t="shared" si="46"/>
        <v>1973.0133761656175</v>
      </c>
      <c r="K358" s="33">
        <f t="shared" si="46"/>
        <v>2077.4395942590409</v>
      </c>
      <c r="L358" s="7"/>
      <c r="M358" s="7"/>
      <c r="N358" s="7"/>
    </row>
    <row r="359" spans="2:14" x14ac:dyDescent="0.4">
      <c r="B359" s="7"/>
      <c r="C359" s="27" t="s">
        <v>84</v>
      </c>
      <c r="D359" s="27"/>
      <c r="E359" s="27"/>
      <c r="F359" s="33"/>
      <c r="G359" s="33">
        <f t="shared" ref="G359:K359" si="47">G379</f>
        <v>1634.4251109710306</v>
      </c>
      <c r="H359" s="33">
        <f t="shared" si="47"/>
        <v>425.46526496464611</v>
      </c>
      <c r="I359" s="33">
        <f t="shared" si="47"/>
        <v>168.55088352100935</v>
      </c>
      <c r="J359" s="33">
        <f t="shared" si="47"/>
        <v>161.52587139016256</v>
      </c>
      <c r="K359" s="33">
        <f t="shared" si="47"/>
        <v>219.90150446450767</v>
      </c>
      <c r="L359" s="7"/>
      <c r="M359" s="7"/>
      <c r="N359" s="7"/>
    </row>
    <row r="360" spans="2:14" x14ac:dyDescent="0.4">
      <c r="B360" s="7"/>
      <c r="C360" s="27"/>
      <c r="D360" s="27"/>
      <c r="E360" s="27"/>
      <c r="F360" s="27"/>
      <c r="G360" s="27"/>
      <c r="H360" s="27"/>
      <c r="I360" s="27"/>
      <c r="J360" s="27"/>
      <c r="K360" s="27"/>
      <c r="L360" s="7"/>
      <c r="M360" s="7"/>
      <c r="N360" s="7"/>
    </row>
    <row r="361" spans="2:14" x14ac:dyDescent="0.4">
      <c r="B361" s="7"/>
      <c r="C361" s="27" t="s">
        <v>12</v>
      </c>
      <c r="D361" s="27"/>
      <c r="E361" s="27"/>
      <c r="F361" s="27"/>
      <c r="G361" s="27"/>
      <c r="H361" s="27"/>
      <c r="I361" s="27"/>
      <c r="J361" s="27"/>
      <c r="K361" s="27"/>
      <c r="L361" s="7"/>
      <c r="M361" s="7"/>
      <c r="N361" s="7"/>
    </row>
    <row r="362" spans="2:14" x14ac:dyDescent="0.4">
      <c r="B362" s="7"/>
      <c r="C362" s="27" t="s">
        <v>13</v>
      </c>
      <c r="D362" s="27"/>
      <c r="E362" s="27"/>
      <c r="F362" s="27"/>
      <c r="G362" s="27">
        <v>0</v>
      </c>
      <c r="H362" s="27">
        <v>0</v>
      </c>
      <c r="I362" s="27">
        <v>0</v>
      </c>
      <c r="J362" s="27">
        <v>0</v>
      </c>
      <c r="K362" s="27">
        <v>0</v>
      </c>
      <c r="L362" s="7"/>
      <c r="M362" s="7"/>
      <c r="N362" s="7"/>
    </row>
    <row r="363" spans="2:14" x14ac:dyDescent="0.4">
      <c r="B363" s="7"/>
      <c r="C363" s="27" t="s">
        <v>85</v>
      </c>
      <c r="D363" s="27"/>
      <c r="E363" s="30"/>
      <c r="F363" s="30"/>
      <c r="G363" s="30">
        <v>992.78426713094382</v>
      </c>
      <c r="H363" s="30">
        <v>990.24060819497458</v>
      </c>
      <c r="I363" s="30">
        <v>989.31590083545916</v>
      </c>
      <c r="J363" s="30">
        <v>950.43069691808603</v>
      </c>
      <c r="K363" s="30">
        <v>938.78051453652336</v>
      </c>
      <c r="L363" s="7"/>
      <c r="M363" s="7"/>
      <c r="N363" s="7"/>
    </row>
    <row r="364" spans="2:14" x14ac:dyDescent="0.4">
      <c r="B364" s="7"/>
      <c r="C364" s="27"/>
      <c r="D364" s="27"/>
      <c r="E364" s="27"/>
      <c r="F364" s="27"/>
      <c r="G364" s="27"/>
      <c r="H364" s="27"/>
      <c r="I364" s="27"/>
      <c r="J364" s="27"/>
      <c r="K364" s="27"/>
      <c r="L364" s="7"/>
      <c r="M364" s="7"/>
      <c r="N364" s="7"/>
    </row>
    <row r="365" spans="2:14" x14ac:dyDescent="0.4">
      <c r="B365" s="7"/>
      <c r="C365" s="27" t="s">
        <v>102</v>
      </c>
      <c r="D365" s="27"/>
      <c r="E365" s="27"/>
      <c r="F365" s="27"/>
      <c r="G365" s="27"/>
      <c r="H365" s="27"/>
      <c r="I365" s="27"/>
      <c r="J365" s="27"/>
      <c r="K365" s="27"/>
      <c r="L365" s="7"/>
      <c r="M365" s="7"/>
      <c r="N365" s="7"/>
    </row>
    <row r="366" spans="2:14" x14ac:dyDescent="0.4">
      <c r="B366" s="7"/>
      <c r="C366" s="27" t="s">
        <v>104</v>
      </c>
      <c r="D366" s="27"/>
      <c r="E366" s="33"/>
      <c r="F366" s="33"/>
      <c r="G366" s="33">
        <v>0</v>
      </c>
      <c r="H366" s="33">
        <v>0</v>
      </c>
      <c r="I366" s="33">
        <v>0</v>
      </c>
      <c r="J366" s="33">
        <v>0</v>
      </c>
      <c r="K366" s="33">
        <v>0</v>
      </c>
      <c r="L366" s="7"/>
      <c r="M366" s="7"/>
      <c r="N366" s="7"/>
    </row>
    <row r="367" spans="2:14" x14ac:dyDescent="0.4">
      <c r="B367" s="7"/>
      <c r="C367" s="27" t="s">
        <v>103</v>
      </c>
      <c r="D367" s="27"/>
      <c r="E367" s="27"/>
      <c r="F367" s="27"/>
      <c r="G367" s="27">
        <v>160</v>
      </c>
      <c r="H367" s="27">
        <v>160</v>
      </c>
      <c r="I367" s="27">
        <v>160</v>
      </c>
      <c r="J367" s="27">
        <v>160</v>
      </c>
      <c r="K367" s="27">
        <v>160</v>
      </c>
      <c r="L367" s="7"/>
      <c r="M367" s="7"/>
      <c r="N367" s="7"/>
    </row>
    <row r="368" spans="2:14" x14ac:dyDescent="0.4">
      <c r="B368" s="7"/>
      <c r="C368" s="27"/>
      <c r="D368" s="27"/>
      <c r="E368" s="27"/>
      <c r="F368" s="27"/>
      <c r="G368" s="27"/>
      <c r="H368" s="27"/>
      <c r="I368" s="27"/>
      <c r="J368" s="23"/>
      <c r="K368" s="23"/>
      <c r="L368" s="7"/>
      <c r="M368" s="7"/>
      <c r="N368" s="7"/>
    </row>
    <row r="369" spans="2:26" x14ac:dyDescent="0.4">
      <c r="B369" s="7"/>
      <c r="C369" s="27" t="s">
        <v>93</v>
      </c>
      <c r="D369" s="27"/>
      <c r="E369" s="27"/>
      <c r="F369" s="27"/>
      <c r="G369" s="27"/>
      <c r="H369" s="27"/>
      <c r="I369" s="27"/>
      <c r="J369" s="23"/>
      <c r="K369" s="23"/>
      <c r="L369" s="7"/>
      <c r="M369" s="7"/>
      <c r="N369" s="7"/>
    </row>
    <row r="370" spans="2:26" x14ac:dyDescent="0.4">
      <c r="B370" s="7"/>
      <c r="C370" s="27" t="s">
        <v>116</v>
      </c>
      <c r="D370" s="34">
        <v>11200</v>
      </c>
      <c r="E370" s="34">
        <v>30000</v>
      </c>
      <c r="F370" s="34">
        <v>15400</v>
      </c>
      <c r="G370" s="34">
        <v>15300</v>
      </c>
      <c r="H370" s="34">
        <v>14200</v>
      </c>
      <c r="I370" s="34">
        <v>17200</v>
      </c>
      <c r="J370" s="34">
        <v>18100</v>
      </c>
      <c r="K370" s="34">
        <v>19000</v>
      </c>
      <c r="L370" s="7"/>
      <c r="M370" s="7"/>
      <c r="N370" s="7"/>
      <c r="V370" s="35"/>
      <c r="W370" s="35"/>
      <c r="X370" s="35"/>
      <c r="Y370" s="35"/>
      <c r="Z370" s="35"/>
    </row>
    <row r="371" spans="2:26" x14ac:dyDescent="0.4">
      <c r="B371" s="7"/>
      <c r="C371" s="27"/>
      <c r="D371" s="27"/>
      <c r="E371" s="27"/>
      <c r="F371" s="27"/>
      <c r="G371" s="27"/>
      <c r="H371" s="27"/>
      <c r="I371" s="27"/>
      <c r="J371" s="23"/>
      <c r="K371" s="23"/>
      <c r="L371" s="7"/>
      <c r="M371" s="7"/>
      <c r="N371" s="7"/>
      <c r="V371" s="35"/>
      <c r="W371" s="35"/>
      <c r="X371" s="35"/>
      <c r="Y371" s="35"/>
      <c r="Z371" s="35"/>
    </row>
    <row r="372" spans="2:26" x14ac:dyDescent="0.4">
      <c r="B372" s="7"/>
      <c r="C372" s="27" t="s">
        <v>86</v>
      </c>
      <c r="D372" s="27"/>
      <c r="E372" s="27"/>
      <c r="F372" s="27"/>
      <c r="G372" s="27">
        <v>3</v>
      </c>
      <c r="H372" s="27">
        <f>G372</f>
        <v>3</v>
      </c>
      <c r="I372" s="27">
        <f>H372</f>
        <v>3</v>
      </c>
      <c r="J372" s="27">
        <f>I372</f>
        <v>3</v>
      </c>
      <c r="K372" s="27">
        <f>J372</f>
        <v>3</v>
      </c>
      <c r="L372" s="7"/>
      <c r="M372" s="7"/>
      <c r="N372" s="7"/>
      <c r="V372" s="35"/>
      <c r="W372" s="35"/>
      <c r="X372" s="35"/>
      <c r="Y372" s="35"/>
      <c r="Z372" s="35"/>
    </row>
    <row r="373" spans="2:26" x14ac:dyDescent="0.4">
      <c r="B373" s="7"/>
      <c r="C373" s="27" t="s">
        <v>115</v>
      </c>
      <c r="D373" s="27"/>
      <c r="E373" s="27"/>
      <c r="F373" s="36"/>
      <c r="G373" s="36">
        <f>G79</f>
        <v>6255</v>
      </c>
      <c r="H373" s="36">
        <f>H79</f>
        <v>6525</v>
      </c>
      <c r="I373" s="36">
        <f>I79</f>
        <v>6785</v>
      </c>
      <c r="J373" s="36">
        <f>J79</f>
        <v>7060</v>
      </c>
      <c r="K373" s="36">
        <f>K79</f>
        <v>7352</v>
      </c>
      <c r="L373" s="7"/>
      <c r="M373" s="7"/>
      <c r="N373" s="7"/>
      <c r="V373" s="35"/>
      <c r="W373" s="35"/>
      <c r="X373" s="35"/>
      <c r="Y373" s="35"/>
      <c r="Z373" s="35"/>
    </row>
    <row r="374" spans="2:26" x14ac:dyDescent="0.4">
      <c r="B374" s="7"/>
      <c r="C374" s="27" t="s">
        <v>100</v>
      </c>
      <c r="D374" s="27"/>
      <c r="E374" s="27"/>
      <c r="F374" s="34"/>
      <c r="G374" s="34">
        <f>G95+G370</f>
        <v>11442.977161491872</v>
      </c>
      <c r="H374" s="34">
        <f>H95+H370</f>
        <v>13222.284176715591</v>
      </c>
      <c r="I374" s="34">
        <f>I95+I370</f>
        <v>19423.016018516559</v>
      </c>
      <c r="J374" s="34">
        <f>J95+J370</f>
        <v>22676.555138824158</v>
      </c>
      <c r="K374" s="34">
        <f>K95+K370</f>
        <v>26077.075406134332</v>
      </c>
      <c r="L374" s="7"/>
      <c r="M374" s="7"/>
      <c r="N374" s="7"/>
      <c r="V374" s="35"/>
      <c r="W374" s="35"/>
      <c r="X374" s="35"/>
      <c r="Y374" s="35"/>
      <c r="Z374" s="35"/>
    </row>
    <row r="375" spans="2:26" x14ac:dyDescent="0.4">
      <c r="B375" s="7"/>
      <c r="C375" s="27" t="s">
        <v>101</v>
      </c>
      <c r="D375" s="27"/>
      <c r="E375" s="27"/>
      <c r="F375" s="34"/>
      <c r="G375" s="34">
        <f>G374-G373</f>
        <v>5187.9771614918718</v>
      </c>
      <c r="H375" s="34">
        <f t="shared" ref="H375:K375" si="48">H374-H373</f>
        <v>6697.2841767155915</v>
      </c>
      <c r="I375" s="34">
        <f t="shared" si="48"/>
        <v>12638.016018516559</v>
      </c>
      <c r="J375" s="34">
        <f t="shared" si="48"/>
        <v>15616.555138824158</v>
      </c>
      <c r="K375" s="34">
        <f t="shared" si="48"/>
        <v>18725.075406134332</v>
      </c>
      <c r="L375" s="7"/>
      <c r="M375" s="7"/>
      <c r="N375" s="7"/>
      <c r="V375" s="35"/>
      <c r="W375" s="35"/>
      <c r="X375" s="35"/>
      <c r="Y375" s="35"/>
      <c r="Z375" s="35"/>
    </row>
    <row r="376" spans="2:26" x14ac:dyDescent="0.4">
      <c r="B376" s="7"/>
      <c r="C376" s="27"/>
      <c r="D376" s="27"/>
      <c r="E376" s="27"/>
      <c r="F376" s="34"/>
      <c r="G376" s="34"/>
      <c r="H376" s="34"/>
      <c r="I376" s="34"/>
      <c r="J376" s="34"/>
      <c r="K376" s="34"/>
      <c r="L376" s="7"/>
      <c r="M376" s="7"/>
      <c r="N376" s="7"/>
      <c r="V376" s="35"/>
      <c r="W376" s="35"/>
      <c r="X376" s="35"/>
      <c r="Y376" s="35"/>
      <c r="Z376" s="35"/>
    </row>
    <row r="377" spans="2:26" x14ac:dyDescent="0.4">
      <c r="B377" s="7"/>
      <c r="C377" s="27"/>
      <c r="D377" s="27"/>
      <c r="E377" s="27"/>
      <c r="F377" s="34"/>
      <c r="G377" s="34"/>
      <c r="H377" s="34"/>
      <c r="I377" s="34"/>
      <c r="J377" s="34"/>
      <c r="K377" s="34"/>
      <c r="L377" s="7"/>
      <c r="M377" s="7"/>
      <c r="N377" s="7"/>
      <c r="V377" s="35"/>
      <c r="W377" s="35"/>
      <c r="X377" s="35"/>
      <c r="Y377" s="35"/>
      <c r="Z377" s="35"/>
    </row>
    <row r="378" spans="2:26" x14ac:dyDescent="0.4">
      <c r="B378" s="7"/>
      <c r="C378" s="27" t="s">
        <v>120</v>
      </c>
      <c r="D378" s="27"/>
      <c r="E378" s="27"/>
      <c r="F378" s="33"/>
      <c r="G378" s="33">
        <v>1634.4251109710306</v>
      </c>
      <c r="H378" s="33">
        <v>1507.8134487993166</v>
      </c>
      <c r="I378" s="33">
        <v>1819.2562495559621</v>
      </c>
      <c r="J378" s="33">
        <v>1973.0133761656175</v>
      </c>
      <c r="K378" s="33">
        <v>2077.4395942590409</v>
      </c>
      <c r="L378" s="7"/>
      <c r="M378" s="7"/>
      <c r="N378" s="7"/>
      <c r="V378" s="35"/>
      <c r="W378" s="35"/>
      <c r="X378" s="35"/>
      <c r="Y378" s="35"/>
      <c r="Z378" s="35"/>
    </row>
    <row r="379" spans="2:26" x14ac:dyDescent="0.4">
      <c r="B379" s="7"/>
      <c r="C379" s="27" t="s">
        <v>121</v>
      </c>
      <c r="D379" s="27"/>
      <c r="E379" s="27"/>
      <c r="F379" s="33"/>
      <c r="G379" s="33">
        <f>G378</f>
        <v>1634.4251109710306</v>
      </c>
      <c r="H379" s="33">
        <v>425.46526496464611</v>
      </c>
      <c r="I379" s="33">
        <v>168.55088352100935</v>
      </c>
      <c r="J379" s="33">
        <v>161.52587139016256</v>
      </c>
      <c r="K379" s="33">
        <v>219.90150446450767</v>
      </c>
      <c r="L379" s="7"/>
      <c r="M379" s="7"/>
      <c r="N379" s="7"/>
      <c r="V379" s="35"/>
      <c r="W379" s="35"/>
      <c r="X379" s="35"/>
      <c r="Y379" s="35"/>
      <c r="Z379" s="35"/>
    </row>
    <row r="380" spans="2:26" x14ac:dyDescent="0.4">
      <c r="B380" s="7"/>
      <c r="C380" s="27" t="s">
        <v>117</v>
      </c>
      <c r="D380" s="27"/>
      <c r="E380" s="27"/>
      <c r="F380" s="34"/>
      <c r="G380" s="34">
        <v>1096.5631360742905</v>
      </c>
      <c r="H380" s="34">
        <v>1093.5302218158722</v>
      </c>
      <c r="I380" s="34">
        <v>1125.0618276642108</v>
      </c>
      <c r="J380" s="34">
        <v>1127.1616456666188</v>
      </c>
      <c r="K380" s="34">
        <v>1164.483693641846</v>
      </c>
      <c r="L380" s="7"/>
      <c r="M380" s="7"/>
      <c r="N380" s="7"/>
      <c r="V380" s="35"/>
      <c r="W380" s="35"/>
      <c r="X380" s="35"/>
      <c r="Y380" s="35"/>
      <c r="Z380" s="35"/>
    </row>
    <row r="381" spans="2:26" x14ac:dyDescent="0.4">
      <c r="B381" s="7"/>
      <c r="C381" s="27"/>
      <c r="D381" s="27"/>
      <c r="E381" s="27"/>
      <c r="F381" s="34"/>
      <c r="G381" s="34"/>
      <c r="H381" s="34"/>
      <c r="I381" s="34"/>
      <c r="J381" s="34"/>
      <c r="K381" s="34"/>
      <c r="L381" s="7"/>
      <c r="M381" s="7"/>
      <c r="N381" s="7"/>
      <c r="V381" s="35"/>
      <c r="W381" s="35"/>
      <c r="X381" s="35"/>
      <c r="Y381" s="35"/>
      <c r="Z381" s="35"/>
    </row>
    <row r="382" spans="2:26" x14ac:dyDescent="0.4">
      <c r="B382" s="7"/>
      <c r="C382" s="27"/>
      <c r="D382" s="27"/>
      <c r="E382" s="27"/>
      <c r="F382" s="34"/>
      <c r="G382" s="34"/>
      <c r="H382" s="34"/>
      <c r="I382" s="34"/>
      <c r="J382" s="34"/>
      <c r="K382" s="34"/>
      <c r="L382" s="7"/>
      <c r="M382" s="7"/>
      <c r="N382" s="7"/>
      <c r="V382" s="35"/>
      <c r="W382" s="35"/>
      <c r="X382" s="35"/>
      <c r="Y382" s="35"/>
      <c r="Z382" s="35"/>
    </row>
    <row r="383" spans="2:26" x14ac:dyDescent="0.4">
      <c r="B383" s="7"/>
      <c r="C383" s="27"/>
      <c r="D383" s="27"/>
      <c r="E383" s="27"/>
      <c r="F383" s="34"/>
      <c r="G383" s="34"/>
      <c r="H383" s="34"/>
      <c r="I383" s="34"/>
      <c r="J383" s="34"/>
      <c r="K383" s="34"/>
      <c r="L383" s="7"/>
      <c r="M383" s="7"/>
      <c r="N383" s="7"/>
      <c r="V383" s="35"/>
      <c r="W383" s="35"/>
      <c r="X383" s="35"/>
      <c r="Y383" s="35"/>
      <c r="Z383" s="35"/>
    </row>
    <row r="384" spans="2:26" x14ac:dyDescent="0.4">
      <c r="B384" s="7"/>
      <c r="C384" s="27"/>
      <c r="D384" s="27"/>
      <c r="E384" s="27"/>
      <c r="F384" s="34"/>
      <c r="G384" s="34"/>
      <c r="H384" s="34"/>
      <c r="I384" s="34"/>
      <c r="J384" s="34"/>
      <c r="K384" s="34"/>
      <c r="L384" s="7"/>
      <c r="M384" s="7"/>
      <c r="N384" s="7"/>
      <c r="V384" s="35"/>
      <c r="W384" s="35"/>
      <c r="X384" s="35"/>
      <c r="Y384" s="35"/>
      <c r="Z384" s="35"/>
    </row>
    <row r="385" spans="2:26" x14ac:dyDescent="0.4">
      <c r="B385" s="7"/>
      <c r="C385" s="27"/>
      <c r="D385" s="27"/>
      <c r="E385" s="27"/>
      <c r="F385" s="34"/>
      <c r="G385" s="34"/>
      <c r="H385" s="34"/>
      <c r="I385" s="34"/>
      <c r="J385" s="34"/>
      <c r="K385" s="34"/>
      <c r="L385" s="7"/>
      <c r="M385" s="7"/>
      <c r="N385" s="7"/>
      <c r="V385" s="35"/>
      <c r="W385" s="35"/>
      <c r="X385" s="35"/>
      <c r="Y385" s="35"/>
      <c r="Z385" s="35"/>
    </row>
    <row r="386" spans="2:26" x14ac:dyDescent="0.4">
      <c r="B386" s="1"/>
      <c r="C386" s="1"/>
      <c r="D386" s="1"/>
      <c r="E386" s="1"/>
      <c r="F386" s="1"/>
      <c r="G386" s="1"/>
      <c r="H386" s="1"/>
      <c r="I386" s="1"/>
      <c r="J386" s="1"/>
      <c r="K386" s="1"/>
      <c r="L386" s="1"/>
      <c r="M386" s="1"/>
      <c r="N386" s="1"/>
    </row>
    <row r="387" spans="2:26" x14ac:dyDescent="0.4">
      <c r="B387" s="1"/>
      <c r="C387" s="1"/>
      <c r="D387" s="1"/>
      <c r="E387" s="1"/>
      <c r="F387" s="1"/>
      <c r="G387" s="1"/>
      <c r="H387" s="1"/>
      <c r="I387" s="1"/>
      <c r="J387" s="1"/>
      <c r="K387" s="1"/>
      <c r="L387" s="1"/>
      <c r="M387" s="1"/>
      <c r="N387" s="1"/>
    </row>
    <row r="388" spans="2:26" x14ac:dyDescent="0.4">
      <c r="B388" s="1"/>
      <c r="C388" s="1"/>
      <c r="D388" s="1"/>
      <c r="E388" s="1"/>
      <c r="F388" s="1"/>
      <c r="G388" s="1"/>
      <c r="H388" s="1"/>
      <c r="I388" s="1"/>
      <c r="J388" s="1"/>
      <c r="K388" s="1"/>
      <c r="L388" s="1"/>
      <c r="M388" s="1"/>
      <c r="N388" s="1"/>
    </row>
    <row r="389" spans="2:26" x14ac:dyDescent="0.4">
      <c r="B389" s="1"/>
      <c r="C389" s="1"/>
      <c r="D389" s="1"/>
      <c r="E389" s="1"/>
      <c r="F389" s="1"/>
      <c r="G389" s="1"/>
      <c r="H389" s="1"/>
      <c r="I389" s="1"/>
      <c r="J389" s="1"/>
      <c r="K389" s="1"/>
      <c r="L389" s="1"/>
      <c r="M389" s="1"/>
      <c r="N389" s="1"/>
    </row>
    <row r="390" spans="2:26" x14ac:dyDescent="0.4">
      <c r="B390" s="1"/>
      <c r="C390" s="1"/>
      <c r="D390" s="1"/>
      <c r="E390" s="1"/>
      <c r="F390" s="1"/>
      <c r="G390" s="1"/>
      <c r="H390" s="1"/>
      <c r="I390" s="1"/>
      <c r="J390" s="1"/>
      <c r="K390" s="1"/>
      <c r="L390" s="1"/>
      <c r="M390" s="1"/>
      <c r="N390" s="1"/>
    </row>
    <row r="391" spans="2:26" x14ac:dyDescent="0.4">
      <c r="B391" s="1"/>
      <c r="C391" s="1"/>
      <c r="D391" s="1"/>
      <c r="E391" s="1"/>
      <c r="F391" s="1"/>
      <c r="G391" s="1"/>
      <c r="H391" s="1"/>
      <c r="I391" s="1"/>
      <c r="J391" s="1"/>
      <c r="K391" s="1"/>
      <c r="L391" s="1"/>
      <c r="M391" s="1"/>
      <c r="N391" s="1"/>
    </row>
    <row r="392" spans="2:26" x14ac:dyDescent="0.4">
      <c r="B392" s="1"/>
      <c r="C392" s="1"/>
      <c r="D392" s="1"/>
      <c r="E392" s="1"/>
      <c r="F392" s="1"/>
      <c r="G392" s="1"/>
      <c r="H392" s="1"/>
      <c r="I392" s="1"/>
      <c r="J392" s="1"/>
      <c r="K392" s="1"/>
      <c r="L392" s="1"/>
      <c r="M392" s="1"/>
      <c r="N392" s="1"/>
    </row>
    <row r="393" spans="2:26" x14ac:dyDescent="0.4">
      <c r="B393" s="1"/>
      <c r="C393" s="1"/>
      <c r="D393" s="1"/>
      <c r="E393" s="1"/>
      <c r="F393" s="1"/>
      <c r="G393" s="1"/>
      <c r="H393" s="1"/>
      <c r="I393" s="1"/>
      <c r="J393" s="1"/>
      <c r="K393" s="1"/>
      <c r="L393" s="1"/>
      <c r="M393" s="1"/>
      <c r="N393" s="1"/>
    </row>
    <row r="394" spans="2:26" x14ac:dyDescent="0.4">
      <c r="B394" s="1"/>
      <c r="C394" s="1"/>
      <c r="D394" s="1"/>
      <c r="E394" s="1"/>
      <c r="F394" s="1"/>
      <c r="G394" s="1"/>
      <c r="H394" s="1"/>
      <c r="I394" s="1"/>
      <c r="J394" s="1"/>
      <c r="K394" s="1"/>
      <c r="L394" s="1"/>
      <c r="M394" s="1"/>
      <c r="N394" s="1"/>
    </row>
    <row r="395" spans="2:26" x14ac:dyDescent="0.4">
      <c r="B395" s="1"/>
      <c r="C395" s="1"/>
      <c r="D395" s="1"/>
      <c r="E395" s="1"/>
      <c r="F395" s="1"/>
      <c r="G395" s="1"/>
      <c r="H395" s="1"/>
      <c r="I395" s="1"/>
      <c r="J395" s="1"/>
      <c r="K395" s="1"/>
      <c r="L395" s="1"/>
      <c r="M395" s="1"/>
      <c r="N395" s="1"/>
    </row>
    <row r="396" spans="2:26" x14ac:dyDescent="0.4">
      <c r="B396" s="1"/>
      <c r="C396" s="1"/>
      <c r="D396" s="1"/>
      <c r="E396" s="1" t="s">
        <v>122</v>
      </c>
      <c r="F396" s="1" t="s">
        <v>123</v>
      </c>
      <c r="G396" s="1"/>
      <c r="H396" s="1"/>
      <c r="I396" s="1"/>
      <c r="J396" s="1"/>
      <c r="K396" s="1"/>
      <c r="L396" s="1"/>
      <c r="M396" s="1"/>
      <c r="N396" s="1"/>
    </row>
    <row r="397" spans="2:26" x14ac:dyDescent="0.4">
      <c r="B397" s="1"/>
      <c r="C397" s="1"/>
      <c r="D397" s="1"/>
      <c r="E397" s="1">
        <v>2000</v>
      </c>
      <c r="F397" s="1">
        <v>29</v>
      </c>
      <c r="G397" s="1"/>
      <c r="H397" s="1"/>
      <c r="I397" s="1"/>
      <c r="J397" s="1"/>
      <c r="K397" s="1"/>
      <c r="L397" s="1"/>
      <c r="M397" s="1"/>
      <c r="N397" s="1"/>
    </row>
    <row r="398" spans="2:26" x14ac:dyDescent="0.4">
      <c r="B398" s="1"/>
      <c r="C398" s="1"/>
      <c r="D398" s="1"/>
      <c r="E398" s="1">
        <v>2001</v>
      </c>
      <c r="F398" s="1">
        <v>25</v>
      </c>
      <c r="G398" s="1"/>
      <c r="H398" s="1"/>
      <c r="I398" s="1"/>
      <c r="J398" s="1"/>
      <c r="K398" s="1"/>
      <c r="L398" s="1"/>
      <c r="M398" s="1"/>
      <c r="N398" s="1"/>
    </row>
    <row r="399" spans="2:26" x14ac:dyDescent="0.4">
      <c r="B399" s="1"/>
      <c r="C399" s="1"/>
      <c r="D399" s="1"/>
      <c r="E399" s="1">
        <v>2002</v>
      </c>
      <c r="F399" s="1">
        <v>28</v>
      </c>
      <c r="G399" s="1"/>
      <c r="H399" s="1"/>
      <c r="I399" s="1"/>
      <c r="J399" s="1"/>
      <c r="K399" s="1"/>
      <c r="L399" s="1"/>
      <c r="M399" s="1"/>
      <c r="N399" s="1"/>
    </row>
    <row r="400" spans="2:26" x14ac:dyDescent="0.4">
      <c r="B400" s="1"/>
      <c r="C400" s="1"/>
      <c r="D400" s="1"/>
      <c r="E400" s="1">
        <v>2003</v>
      </c>
      <c r="F400" s="1">
        <v>26</v>
      </c>
      <c r="G400" s="1"/>
      <c r="H400" s="1"/>
      <c r="I400" s="1"/>
      <c r="J400" s="1"/>
      <c r="K400" s="1"/>
      <c r="L400" s="1"/>
      <c r="M400" s="1"/>
      <c r="N400" s="1"/>
    </row>
    <row r="401" spans="2:14" x14ac:dyDescent="0.4">
      <c r="B401" s="1"/>
      <c r="C401" s="1"/>
      <c r="D401" s="1"/>
      <c r="E401" s="1">
        <v>2004</v>
      </c>
      <c r="F401" s="1">
        <v>24</v>
      </c>
      <c r="G401" s="1"/>
      <c r="H401" s="1"/>
      <c r="I401" s="1"/>
      <c r="J401" s="1"/>
      <c r="K401" s="1"/>
      <c r="L401" s="1"/>
      <c r="M401" s="1"/>
      <c r="N401" s="1"/>
    </row>
    <row r="402" spans="2:14" x14ac:dyDescent="0.4">
      <c r="B402" s="1"/>
      <c r="C402" s="1"/>
      <c r="D402" s="1"/>
      <c r="E402" s="1">
        <v>2005</v>
      </c>
      <c r="F402" s="1">
        <v>21</v>
      </c>
      <c r="G402" s="1"/>
      <c r="H402" s="1"/>
      <c r="I402" s="1"/>
      <c r="J402" s="1"/>
      <c r="K402" s="1"/>
      <c r="L402" s="1"/>
      <c r="M402" s="1"/>
      <c r="N402" s="1"/>
    </row>
    <row r="403" spans="2:14" x14ac:dyDescent="0.4">
      <c r="B403" s="1"/>
      <c r="C403" s="1"/>
      <c r="D403" s="1"/>
      <c r="E403" s="1">
        <v>2006</v>
      </c>
      <c r="F403" s="1">
        <v>17</v>
      </c>
      <c r="G403" s="1"/>
      <c r="H403" s="1"/>
      <c r="I403" s="1"/>
      <c r="J403" s="1"/>
      <c r="K403" s="1"/>
      <c r="L403" s="1"/>
      <c r="M403" s="1"/>
      <c r="N403" s="1"/>
    </row>
    <row r="404" spans="2:14" x14ac:dyDescent="0.4">
      <c r="B404" s="1"/>
      <c r="C404" s="1"/>
      <c r="D404" s="1"/>
      <c r="E404" s="1">
        <v>2007</v>
      </c>
      <c r="F404" s="1">
        <v>17</v>
      </c>
      <c r="G404" s="1"/>
      <c r="H404" s="1"/>
      <c r="I404" s="1"/>
      <c r="J404" s="1"/>
      <c r="K404" s="1"/>
      <c r="L404" s="1"/>
      <c r="M404" s="1"/>
      <c r="N404" s="1"/>
    </row>
    <row r="405" spans="2:14" x14ac:dyDescent="0.4">
      <c r="B405" s="1"/>
      <c r="C405" s="1"/>
      <c r="D405" s="1"/>
      <c r="E405" s="1">
        <v>2008</v>
      </c>
      <c r="F405" s="1">
        <v>28</v>
      </c>
      <c r="G405" s="1"/>
      <c r="H405" s="1"/>
      <c r="I405" s="1"/>
      <c r="J405" s="1"/>
      <c r="K405" s="1"/>
      <c r="L405" s="1"/>
      <c r="M405" s="1"/>
      <c r="N405" s="1"/>
    </row>
    <row r="406" spans="2:14" x14ac:dyDescent="0.4">
      <c r="B406" s="1"/>
      <c r="C406" s="1"/>
      <c r="D406" s="1"/>
      <c r="E406" s="1">
        <v>2009</v>
      </c>
      <c r="F406" s="1">
        <v>47</v>
      </c>
      <c r="G406" s="1"/>
      <c r="H406" s="1"/>
      <c r="I406" s="1"/>
      <c r="J406" s="1"/>
      <c r="K406" s="1"/>
      <c r="L406" s="1"/>
      <c r="M406" s="1"/>
      <c r="N406" s="1"/>
    </row>
    <row r="407" spans="2:14" x14ac:dyDescent="0.4">
      <c r="B407" s="1"/>
      <c r="C407" s="1"/>
      <c r="D407" s="1"/>
      <c r="E407" s="1">
        <v>2010</v>
      </c>
      <c r="F407" s="1">
        <v>86</v>
      </c>
      <c r="G407" s="1"/>
      <c r="H407" s="1"/>
      <c r="I407" s="1"/>
      <c r="J407" s="1"/>
      <c r="K407" s="1"/>
      <c r="L407" s="1"/>
      <c r="M407" s="1"/>
      <c r="N407" s="1"/>
    </row>
    <row r="408" spans="2:14" x14ac:dyDescent="0.4">
      <c r="B408" s="1"/>
      <c r="C408" s="1"/>
      <c r="D408" s="1"/>
      <c r="E408" s="1">
        <v>2011</v>
      </c>
      <c r="F408" s="1">
        <v>105</v>
      </c>
      <c r="G408" s="1"/>
      <c r="H408" s="1"/>
      <c r="I408" s="1"/>
      <c r="J408" s="1"/>
      <c r="K408" s="1"/>
      <c r="L408" s="1"/>
      <c r="M408" s="1"/>
      <c r="N408" s="1"/>
    </row>
    <row r="409" spans="2:14" x14ac:dyDescent="0.4">
      <c r="B409" s="1"/>
      <c r="C409" s="1"/>
      <c r="D409" s="1"/>
      <c r="E409" s="1">
        <v>2012</v>
      </c>
      <c r="F409" s="1">
        <v>119</v>
      </c>
      <c r="G409" s="1"/>
      <c r="H409" s="1"/>
      <c r="I409" s="1"/>
      <c r="J409" s="1"/>
      <c r="K409" s="1"/>
      <c r="L409" s="1"/>
      <c r="M409" s="1"/>
      <c r="N409" s="1"/>
    </row>
    <row r="410" spans="2:14" x14ac:dyDescent="0.4">
      <c r="B410" s="1"/>
      <c r="C410" s="1"/>
      <c r="D410" s="1"/>
      <c r="E410" s="1">
        <v>2013</v>
      </c>
      <c r="F410" s="1">
        <v>117</v>
      </c>
      <c r="G410" s="1"/>
      <c r="H410" s="1"/>
      <c r="I410" s="1"/>
      <c r="J410" s="1"/>
      <c r="K410" s="1"/>
      <c r="L410" s="1"/>
      <c r="M410" s="1"/>
      <c r="N410" s="1"/>
    </row>
    <row r="411" spans="2:14" x14ac:dyDescent="0.4">
      <c r="B411" s="1"/>
      <c r="C411" s="1"/>
      <c r="D411" s="1"/>
      <c r="E411" s="1">
        <v>2014</v>
      </c>
      <c r="F411" s="1">
        <v>111</v>
      </c>
      <c r="G411" s="1"/>
      <c r="H411" s="1"/>
      <c r="I411" s="1"/>
      <c r="J411" s="1"/>
      <c r="K411" s="1"/>
      <c r="L411" s="1"/>
      <c r="M411" s="1"/>
      <c r="N411" s="1"/>
    </row>
    <row r="412" spans="2:14" x14ac:dyDescent="0.4">
      <c r="B412" s="1"/>
      <c r="C412" s="1"/>
      <c r="D412" s="1"/>
      <c r="E412" s="1">
        <v>2015</v>
      </c>
      <c r="F412" s="1">
        <v>103</v>
      </c>
      <c r="G412" s="1"/>
      <c r="H412" s="1"/>
      <c r="I412" s="1"/>
      <c r="J412" s="1"/>
      <c r="K412" s="1"/>
      <c r="L412" s="1"/>
      <c r="M412" s="1"/>
      <c r="N412" s="1"/>
    </row>
    <row r="413" spans="2:14" x14ac:dyDescent="0.4">
      <c r="B413" s="1"/>
      <c r="C413" s="1"/>
      <c r="D413" s="1"/>
      <c r="E413" s="1">
        <v>2016</v>
      </c>
      <c r="F413" s="1">
        <v>102</v>
      </c>
      <c r="G413" s="1"/>
      <c r="H413" s="1"/>
      <c r="I413" s="1"/>
      <c r="J413" s="1"/>
      <c r="K413" s="1"/>
      <c r="L413" s="1"/>
      <c r="M413" s="1"/>
      <c r="N413" s="1"/>
    </row>
    <row r="414" spans="2:14" x14ac:dyDescent="0.4">
      <c r="B414" s="1"/>
      <c r="C414" s="1"/>
      <c r="D414" s="1"/>
      <c r="E414" s="1">
        <v>2017</v>
      </c>
      <c r="F414" s="1">
        <v>95</v>
      </c>
      <c r="G414" s="1"/>
      <c r="H414" s="1"/>
      <c r="I414" s="1"/>
      <c r="J414" s="1"/>
      <c r="K414" s="1"/>
      <c r="L414" s="1"/>
      <c r="M414" s="1"/>
      <c r="N414" s="1"/>
    </row>
    <row r="415" spans="2:14" x14ac:dyDescent="0.4">
      <c r="B415" s="1"/>
      <c r="C415" s="1"/>
      <c r="D415" s="1"/>
      <c r="E415" s="1">
        <v>2018</v>
      </c>
      <c r="F415" s="1">
        <v>92</v>
      </c>
      <c r="G415" s="1"/>
      <c r="H415" s="1"/>
      <c r="I415" s="1"/>
      <c r="J415" s="1"/>
      <c r="K415" s="1"/>
      <c r="L415" s="1"/>
      <c r="M415" s="1"/>
      <c r="N415" s="1"/>
    </row>
    <row r="416" spans="2:14" x14ac:dyDescent="0.4">
      <c r="B416" s="1"/>
      <c r="C416" s="1"/>
      <c r="D416" s="1"/>
      <c r="E416" s="1">
        <v>2019</v>
      </c>
      <c r="F416" s="1">
        <v>84</v>
      </c>
      <c r="G416" s="1"/>
      <c r="H416" s="1"/>
      <c r="I416" s="1"/>
      <c r="J416" s="1"/>
      <c r="K416" s="1"/>
      <c r="L416" s="1"/>
      <c r="M416" s="1"/>
      <c r="N416" s="1"/>
    </row>
    <row r="417" spans="2:14" x14ac:dyDescent="0.4">
      <c r="B417" s="1"/>
      <c r="C417" s="1"/>
      <c r="D417" s="1"/>
      <c r="E417" s="1">
        <v>2020</v>
      </c>
      <c r="F417" s="1">
        <v>94</v>
      </c>
      <c r="G417" s="1"/>
      <c r="H417" s="1"/>
      <c r="I417" s="1"/>
      <c r="J417" s="1"/>
      <c r="K417" s="1"/>
      <c r="L417" s="1"/>
      <c r="M417" s="1"/>
      <c r="N417" s="1"/>
    </row>
    <row r="418" spans="2:14" x14ac:dyDescent="0.4">
      <c r="B418" s="1"/>
      <c r="C418" s="1"/>
      <c r="D418" s="1"/>
      <c r="E418" s="1">
        <v>2021</v>
      </c>
      <c r="F418" s="1">
        <v>84</v>
      </c>
      <c r="G418" s="1"/>
      <c r="H418" s="1"/>
      <c r="I418" s="1"/>
      <c r="J418" s="1"/>
      <c r="K418" s="1"/>
      <c r="L418" s="1"/>
      <c r="M418" s="1"/>
      <c r="N418" s="1"/>
    </row>
    <row r="419" spans="2:14" x14ac:dyDescent="0.4">
      <c r="B419" s="1"/>
      <c r="C419" s="1"/>
      <c r="D419" s="1"/>
      <c r="E419" s="1">
        <v>2022</v>
      </c>
      <c r="F419" s="1">
        <v>71</v>
      </c>
      <c r="G419" s="1"/>
      <c r="H419" s="1"/>
      <c r="I419" s="1"/>
      <c r="J419" s="1"/>
      <c r="K419" s="1"/>
      <c r="L419" s="1"/>
      <c r="M419" s="1"/>
      <c r="N419" s="1"/>
    </row>
    <row r="420" spans="2:14" x14ac:dyDescent="0.4">
      <c r="B420" s="1"/>
      <c r="C420" s="1"/>
      <c r="D420" s="1"/>
      <c r="E420" s="1">
        <v>2023</v>
      </c>
      <c r="F420" s="1">
        <v>63</v>
      </c>
      <c r="G420" s="1"/>
      <c r="H420" s="1"/>
      <c r="I420" s="1"/>
      <c r="J420" s="1"/>
      <c r="K420" s="1"/>
      <c r="L420" s="1"/>
      <c r="M420" s="1"/>
      <c r="N420" s="1"/>
    </row>
    <row r="421" spans="2:14" x14ac:dyDescent="0.4">
      <c r="B421" s="1"/>
      <c r="C421" s="1"/>
      <c r="D421" s="1"/>
      <c r="E421" s="1">
        <v>2024</v>
      </c>
      <c r="F421" s="1">
        <v>53</v>
      </c>
      <c r="G421" s="1"/>
      <c r="H421" s="1"/>
      <c r="I421" s="1"/>
      <c r="J421" s="1"/>
      <c r="K421" s="1"/>
      <c r="L421" s="1"/>
      <c r="M421" s="1"/>
      <c r="N421" s="1"/>
    </row>
    <row r="422" spans="2:14" x14ac:dyDescent="0.4">
      <c r="B422" s="1"/>
      <c r="C422" s="1"/>
      <c r="D422" s="1"/>
      <c r="E422" s="1">
        <v>2025</v>
      </c>
      <c r="F422" s="1">
        <v>47</v>
      </c>
      <c r="G422" s="1"/>
      <c r="H422" s="1"/>
      <c r="I422" s="1"/>
      <c r="J422" s="1"/>
      <c r="K422" s="1"/>
      <c r="L422" s="1"/>
      <c r="M422" s="1"/>
      <c r="N422" s="1"/>
    </row>
    <row r="423" spans="2:14" x14ac:dyDescent="0.4">
      <c r="B423" s="1"/>
      <c r="C423" s="1"/>
      <c r="D423" s="1"/>
      <c r="E423" s="1">
        <v>2026</v>
      </c>
      <c r="F423" s="1">
        <v>43</v>
      </c>
      <c r="G423" s="1"/>
      <c r="H423" s="1"/>
      <c r="I423" s="1"/>
      <c r="J423" s="1"/>
      <c r="K423" s="1"/>
      <c r="L423" s="1"/>
      <c r="M423" s="1"/>
      <c r="N423" s="1"/>
    </row>
    <row r="424" spans="2:14" x14ac:dyDescent="0.4">
      <c r="B424" s="1"/>
      <c r="C424" s="1"/>
      <c r="D424" s="1"/>
      <c r="E424" s="1">
        <v>2027</v>
      </c>
      <c r="F424" s="1">
        <v>41</v>
      </c>
      <c r="G424" s="1"/>
      <c r="H424" s="1"/>
      <c r="I424" s="1"/>
      <c r="J424" s="1"/>
      <c r="K424" s="1"/>
      <c r="L424" s="1"/>
      <c r="M424" s="1"/>
      <c r="N424" s="1"/>
    </row>
    <row r="425" spans="2:14" x14ac:dyDescent="0.4">
      <c r="B425" s="1"/>
      <c r="C425" s="1"/>
      <c r="D425" s="1"/>
      <c r="E425" s="1">
        <v>2028</v>
      </c>
      <c r="F425" s="1">
        <v>38</v>
      </c>
      <c r="G425" s="1"/>
      <c r="H425" s="1"/>
      <c r="I425" s="1"/>
      <c r="J425" s="1"/>
      <c r="K425" s="1"/>
      <c r="L425" s="1"/>
      <c r="M425" s="1"/>
      <c r="N425" s="1"/>
    </row>
    <row r="426" spans="2:14" x14ac:dyDescent="0.4">
      <c r="B426" s="1"/>
      <c r="C426" s="1"/>
      <c r="D426" s="1"/>
      <c r="E426" s="1">
        <v>2029</v>
      </c>
      <c r="F426" s="1">
        <v>35</v>
      </c>
      <c r="G426" s="1"/>
      <c r="H426" s="1"/>
      <c r="I426" s="1"/>
      <c r="J426" s="1"/>
      <c r="K426" s="1"/>
      <c r="L426" s="1"/>
      <c r="M426" s="1"/>
      <c r="N426" s="1"/>
    </row>
    <row r="427" spans="2:14" x14ac:dyDescent="0.4">
      <c r="B427" s="1"/>
      <c r="C427" s="1"/>
      <c r="D427" s="1"/>
      <c r="E427" s="1">
        <v>2030</v>
      </c>
      <c r="F427" s="1">
        <v>32</v>
      </c>
      <c r="G427" s="1"/>
      <c r="H427" s="1"/>
      <c r="I427" s="1"/>
      <c r="J427" s="1"/>
      <c r="K427" s="1"/>
      <c r="L427" s="1"/>
      <c r="M427" s="1"/>
      <c r="N427" s="1"/>
    </row>
    <row r="428" spans="2:14" x14ac:dyDescent="0.4">
      <c r="B428" s="1"/>
      <c r="C428" s="1"/>
      <c r="D428" s="1"/>
      <c r="E428" s="1"/>
      <c r="F428" s="1"/>
      <c r="G428" s="1"/>
      <c r="H428" s="1"/>
      <c r="I428" s="1"/>
      <c r="J428" s="1"/>
      <c r="K428" s="1"/>
      <c r="L428" s="1"/>
      <c r="M428" s="1"/>
      <c r="N428" s="1"/>
    </row>
    <row r="429" spans="2:14" x14ac:dyDescent="0.4">
      <c r="B429" s="1"/>
      <c r="C429" s="1"/>
      <c r="D429" s="1"/>
      <c r="E429" s="1"/>
      <c r="F429" s="1"/>
      <c r="G429" s="1"/>
      <c r="H429" s="1"/>
      <c r="I429" s="1"/>
      <c r="J429" s="1"/>
      <c r="K429" s="1"/>
      <c r="L429" s="1"/>
      <c r="M429" s="1"/>
      <c r="N429" s="1"/>
    </row>
    <row r="430" spans="2:14" x14ac:dyDescent="0.4">
      <c r="B430" s="1"/>
      <c r="C430" s="1"/>
      <c r="D430" s="1"/>
      <c r="E430" s="1"/>
      <c r="F430" s="1"/>
      <c r="G430" s="1"/>
      <c r="H430" s="1"/>
      <c r="I430" s="1"/>
      <c r="J430" s="1"/>
      <c r="K430" s="1"/>
      <c r="L430" s="1"/>
      <c r="M430" s="1"/>
      <c r="N430" s="1"/>
    </row>
    <row r="431" spans="2:14" x14ac:dyDescent="0.4">
      <c r="B431" s="1"/>
      <c r="C431" s="1"/>
      <c r="D431" s="1"/>
      <c r="E431" s="1"/>
      <c r="F431" s="1"/>
      <c r="G431" s="1"/>
      <c r="H431" s="1"/>
      <c r="I431" s="1"/>
      <c r="J431" s="1"/>
      <c r="K431" s="1"/>
      <c r="L431" s="1"/>
      <c r="M431" s="1"/>
      <c r="N431" s="1"/>
    </row>
    <row r="432" spans="2:14" x14ac:dyDescent="0.4">
      <c r="B432" s="1"/>
      <c r="C432" s="1"/>
      <c r="D432" s="1"/>
      <c r="E432" s="1"/>
      <c r="F432" s="1"/>
      <c r="G432" s="1"/>
      <c r="H432" s="1"/>
      <c r="I432" s="1"/>
      <c r="J432" s="1"/>
      <c r="K432" s="1"/>
      <c r="L432" s="1"/>
      <c r="M432" s="1"/>
      <c r="N432" s="1"/>
    </row>
    <row r="433" spans="2:14" x14ac:dyDescent="0.4">
      <c r="B433" s="1"/>
      <c r="C433" s="1"/>
      <c r="D433" s="1"/>
      <c r="E433" s="1"/>
      <c r="F433" s="1"/>
      <c r="G433" s="1"/>
      <c r="H433" s="1"/>
      <c r="I433" s="1"/>
      <c r="J433" s="1"/>
      <c r="K433" s="1"/>
      <c r="L433" s="1"/>
      <c r="M433" s="1"/>
      <c r="N433" s="1"/>
    </row>
    <row r="434" spans="2:14" x14ac:dyDescent="0.4">
      <c r="B434" s="1"/>
      <c r="C434" s="1"/>
      <c r="D434" s="1"/>
      <c r="E434" s="1"/>
      <c r="F434" s="1"/>
      <c r="G434" s="1"/>
      <c r="H434" s="1"/>
      <c r="I434" s="1"/>
      <c r="J434" s="1"/>
      <c r="K434" s="1"/>
      <c r="L434" s="1"/>
      <c r="M434" s="1"/>
      <c r="N434" s="1"/>
    </row>
    <row r="435" spans="2:14" x14ac:dyDescent="0.4">
      <c r="B435" s="1"/>
      <c r="C435" s="1"/>
      <c r="D435" s="1"/>
      <c r="E435" s="1"/>
      <c r="F435" s="1"/>
      <c r="G435" s="1"/>
      <c r="H435" s="1"/>
      <c r="I435" s="1"/>
      <c r="J435" s="1"/>
      <c r="K435" s="1"/>
      <c r="L435" s="1"/>
      <c r="M435" s="1"/>
      <c r="N435" s="1"/>
    </row>
    <row r="436" spans="2:14" x14ac:dyDescent="0.4">
      <c r="B436" s="1"/>
      <c r="C436" s="1"/>
      <c r="D436" s="1"/>
      <c r="E436" s="1"/>
      <c r="F436" s="1"/>
      <c r="G436" s="1"/>
      <c r="H436" s="1"/>
      <c r="I436" s="1"/>
      <c r="J436" s="1"/>
      <c r="K436" s="1"/>
      <c r="L436" s="1"/>
      <c r="M436" s="1"/>
      <c r="N436" s="1"/>
    </row>
    <row r="437" spans="2:14" x14ac:dyDescent="0.4">
      <c r="B437" s="1"/>
      <c r="C437" s="1"/>
      <c r="D437" s="1"/>
      <c r="E437" s="1"/>
      <c r="F437" s="1"/>
      <c r="G437" s="1"/>
      <c r="H437" s="1"/>
      <c r="I437" s="1"/>
      <c r="J437" s="1"/>
      <c r="K437" s="1"/>
      <c r="L437" s="1"/>
      <c r="M437" s="1"/>
      <c r="N437" s="1"/>
    </row>
    <row r="438" spans="2:14" x14ac:dyDescent="0.4">
      <c r="B438" s="1"/>
      <c r="C438" s="1"/>
      <c r="D438" s="1"/>
      <c r="E438" s="1"/>
      <c r="F438" s="1"/>
      <c r="G438" s="1"/>
      <c r="H438" s="1"/>
      <c r="I438" s="1"/>
      <c r="J438" s="1"/>
      <c r="K438" s="1"/>
      <c r="L438" s="1"/>
      <c r="M438" s="1"/>
      <c r="N438" s="1"/>
    </row>
    <row r="439" spans="2:14" x14ac:dyDescent="0.4">
      <c r="B439" s="1"/>
      <c r="C439" s="1"/>
      <c r="D439" s="1"/>
      <c r="E439" s="1"/>
      <c r="F439" s="1"/>
      <c r="G439" s="1"/>
      <c r="H439" s="1"/>
      <c r="I439" s="1"/>
      <c r="J439" s="1"/>
      <c r="K439" s="1"/>
      <c r="L439" s="1"/>
      <c r="M439" s="1"/>
      <c r="N439" s="1"/>
    </row>
    <row r="440" spans="2:14" x14ac:dyDescent="0.4">
      <c r="B440" s="1"/>
      <c r="C440" s="1"/>
      <c r="D440" s="1"/>
      <c r="E440" s="1"/>
      <c r="F440" s="1"/>
      <c r="G440" s="1"/>
      <c r="H440" s="1"/>
      <c r="I440" s="1"/>
      <c r="J440" s="1"/>
      <c r="K440" s="1"/>
      <c r="L440" s="1"/>
      <c r="M440" s="1"/>
      <c r="N440" s="1"/>
    </row>
    <row r="441" spans="2:14" x14ac:dyDescent="0.4">
      <c r="B441" s="1"/>
      <c r="C441" s="1"/>
      <c r="D441" s="1"/>
      <c r="E441" s="1"/>
      <c r="F441" s="1"/>
      <c r="G441" s="1"/>
      <c r="H441" s="1"/>
      <c r="I441" s="1"/>
      <c r="J441" s="1"/>
      <c r="K441" s="1"/>
      <c r="L441" s="1"/>
      <c r="M441" s="1"/>
      <c r="N441" s="1"/>
    </row>
    <row r="442" spans="2:14" x14ac:dyDescent="0.4">
      <c r="B442" s="1"/>
      <c r="C442" s="1"/>
      <c r="D442" s="1"/>
      <c r="E442" s="1"/>
      <c r="F442" s="1"/>
      <c r="G442" s="1"/>
      <c r="H442" s="1"/>
      <c r="I442" s="1"/>
      <c r="J442" s="1"/>
      <c r="K442" s="1"/>
      <c r="L442" s="1"/>
      <c r="M442" s="1"/>
      <c r="N442" s="1"/>
    </row>
    <row r="443" spans="2:14" x14ac:dyDescent="0.4">
      <c r="B443" s="1"/>
      <c r="C443" s="1"/>
      <c r="D443" s="1"/>
      <c r="E443" s="1"/>
      <c r="F443" s="1"/>
      <c r="G443" s="1"/>
      <c r="H443" s="1"/>
      <c r="I443" s="1"/>
      <c r="J443" s="1"/>
      <c r="K443" s="1"/>
      <c r="L443" s="1"/>
      <c r="M443" s="1"/>
      <c r="N443" s="1"/>
    </row>
    <row r="444" spans="2:14" x14ac:dyDescent="0.4">
      <c r="B444" s="1"/>
      <c r="C444" s="1"/>
      <c r="D444" s="1"/>
      <c r="E444" s="1"/>
      <c r="F444" s="1"/>
      <c r="G444" s="1"/>
      <c r="H444" s="1"/>
      <c r="I444" s="1"/>
      <c r="J444" s="1"/>
      <c r="K444" s="1"/>
      <c r="L444" s="1"/>
      <c r="M444" s="1"/>
      <c r="N444" s="1"/>
    </row>
    <row r="445" spans="2:14" x14ac:dyDescent="0.4">
      <c r="B445" s="1"/>
      <c r="C445" s="1"/>
      <c r="D445" s="1"/>
      <c r="E445" s="1"/>
      <c r="F445" s="1"/>
      <c r="G445" s="1"/>
      <c r="H445" s="1"/>
      <c r="I445" s="1"/>
      <c r="J445" s="1"/>
      <c r="K445" s="1"/>
      <c r="L445" s="1"/>
      <c r="M445" s="1"/>
      <c r="N445" s="1"/>
    </row>
    <row r="446" spans="2:14" x14ac:dyDescent="0.4">
      <c r="B446" s="1"/>
      <c r="C446" s="1" t="s">
        <v>163</v>
      </c>
      <c r="D446" s="1"/>
      <c r="E446" s="1"/>
      <c r="F446" s="87">
        <f>F300</f>
        <v>125215</v>
      </c>
      <c r="G446" s="86">
        <f>F446+G295+SUM(G305:G306)</f>
        <v>131085.05686432583</v>
      </c>
      <c r="H446" s="86">
        <f t="shared" ref="H446:K446" si="49">G446+H295+SUM(H305:H306)</f>
        <v>135118.45160351403</v>
      </c>
      <c r="I446" s="86">
        <f t="shared" si="49"/>
        <v>139954.38724805339</v>
      </c>
      <c r="J446" s="86">
        <f>I446+J295+SUM(J305:J306)</f>
        <v>143724.94637824176</v>
      </c>
      <c r="K446" s="86">
        <f t="shared" si="49"/>
        <v>146897.65667810754</v>
      </c>
      <c r="L446" s="1"/>
      <c r="M446" s="1"/>
      <c r="N446" s="1"/>
    </row>
    <row r="447" spans="2:14" x14ac:dyDescent="0.4">
      <c r="B447" s="1"/>
      <c r="C447" s="1" t="s">
        <v>162</v>
      </c>
      <c r="D447" s="1"/>
      <c r="E447" s="1"/>
      <c r="F447" s="1"/>
      <c r="G447" s="86">
        <f>G164+G165+G166+G313+SUM(G308:G312)</f>
        <v>644.5</v>
      </c>
      <c r="H447" s="86">
        <f>H164+H165+H166+H313+SUM(H308:H312)</f>
        <v>644.5</v>
      </c>
      <c r="I447" s="86">
        <f>I164+I165+I166+I313+SUM(I308:I312)</f>
        <v>806</v>
      </c>
      <c r="J447" s="86">
        <f>J164+J165+J166+J313+SUM(J308:J312)</f>
        <v>160</v>
      </c>
      <c r="K447" s="86">
        <f>K164+K165+K166+K313+SUM(K308:K312)</f>
        <v>160</v>
      </c>
      <c r="L447" s="1"/>
      <c r="M447" s="1"/>
      <c r="N447" s="1"/>
    </row>
    <row r="448" spans="2:14" x14ac:dyDescent="0.4">
      <c r="B448" s="1"/>
      <c r="C448" s="1" t="s">
        <v>164</v>
      </c>
      <c r="D448" s="1"/>
      <c r="E448" s="1"/>
      <c r="F448" s="1"/>
      <c r="G448" s="86">
        <f>G446-G447</f>
        <v>130440.55686432583</v>
      </c>
      <c r="H448" s="86">
        <f>H446-H447</f>
        <v>134473.95160351403</v>
      </c>
      <c r="I448" s="86">
        <f>I446-I447</f>
        <v>139148.38724805339</v>
      </c>
      <c r="J448" s="86">
        <f>J446-J447</f>
        <v>143564.94637824176</v>
      </c>
      <c r="K448" s="86">
        <f>K446-K447</f>
        <v>146737.65667810754</v>
      </c>
      <c r="L448" s="1"/>
      <c r="M448" s="90" t="s">
        <v>165</v>
      </c>
      <c r="N448" s="1"/>
    </row>
    <row r="449" spans="2:14" x14ac:dyDescent="0.4">
      <c r="B449" s="1"/>
      <c r="C449" s="89" t="s">
        <v>161</v>
      </c>
      <c r="D449" s="1"/>
      <c r="E449" s="1"/>
      <c r="F449" s="1"/>
      <c r="G449" s="88">
        <f>G448/F446*100-100</f>
        <v>4.1732674714098437</v>
      </c>
      <c r="H449" s="88">
        <f t="shared" ref="H449:K449" si="50">H448/G446*100-100</f>
        <v>2.5852639654386564</v>
      </c>
      <c r="I449" s="88">
        <f t="shared" si="50"/>
        <v>2.982520593386198</v>
      </c>
      <c r="J449" s="88">
        <f t="shared" si="50"/>
        <v>2.5798113236629376</v>
      </c>
      <c r="K449" s="88">
        <f t="shared" si="50"/>
        <v>2.0961638016111692</v>
      </c>
      <c r="L449" s="1"/>
      <c r="M449" s="88">
        <f>AVERAGE(G449:K449)</f>
        <v>2.8834054311017612</v>
      </c>
      <c r="N449" s="1"/>
    </row>
    <row r="450" spans="2:14" x14ac:dyDescent="0.4">
      <c r="B450" s="1"/>
      <c r="C450" s="1"/>
      <c r="D450" s="1"/>
      <c r="E450" s="1"/>
      <c r="F450" s="1"/>
      <c r="G450" s="1"/>
      <c r="H450" s="1"/>
      <c r="I450" s="1"/>
      <c r="J450" s="1"/>
      <c r="K450" s="1"/>
      <c r="L450" s="1"/>
      <c r="M450" s="1"/>
      <c r="N450" s="1"/>
    </row>
    <row r="451" spans="2:14" x14ac:dyDescent="0.4">
      <c r="B451" s="1"/>
      <c r="C451" s="1"/>
      <c r="D451" s="1"/>
      <c r="E451" s="1"/>
      <c r="F451" s="1"/>
      <c r="G451" s="1"/>
      <c r="H451" s="1"/>
      <c r="I451" s="1"/>
      <c r="J451" s="1"/>
      <c r="K451" s="1"/>
      <c r="L451" s="1"/>
      <c r="M451" s="1"/>
      <c r="N451" s="1"/>
    </row>
    <row r="452" spans="2:14" x14ac:dyDescent="0.4">
      <c r="B452" s="1"/>
      <c r="C452" s="1"/>
      <c r="D452" s="1"/>
      <c r="E452" s="1"/>
      <c r="F452" s="1"/>
      <c r="G452" s="1"/>
      <c r="H452" s="1"/>
      <c r="I452" s="1"/>
      <c r="J452" s="1"/>
      <c r="K452" s="1"/>
      <c r="L452" s="1"/>
      <c r="M452" s="1"/>
      <c r="N452" s="1"/>
    </row>
    <row r="453" spans="2:14" x14ac:dyDescent="0.4">
      <c r="B453" s="1"/>
      <c r="C453" s="1"/>
      <c r="D453" s="1"/>
      <c r="E453" s="1"/>
      <c r="F453" s="1"/>
      <c r="G453" s="86"/>
      <c r="H453" s="86"/>
      <c r="I453" s="86"/>
      <c r="J453" s="86"/>
      <c r="K453" s="86"/>
      <c r="L453" s="1"/>
      <c r="M453" s="1"/>
      <c r="N453" s="1"/>
    </row>
    <row r="454" spans="2:14" x14ac:dyDescent="0.4">
      <c r="B454" s="1"/>
      <c r="C454" s="1"/>
      <c r="D454" s="1"/>
      <c r="E454" s="1"/>
      <c r="F454" s="1"/>
      <c r="G454" s="1"/>
      <c r="H454" s="1"/>
      <c r="I454" s="1"/>
      <c r="J454" s="1"/>
      <c r="K454" s="1"/>
      <c r="L454" s="1"/>
      <c r="M454" s="1"/>
      <c r="N454" s="1"/>
    </row>
    <row r="455" spans="2:14" x14ac:dyDescent="0.4">
      <c r="B455" s="1"/>
      <c r="C455" s="1"/>
      <c r="D455" s="1"/>
      <c r="E455" s="1"/>
      <c r="F455" s="1"/>
      <c r="G455" s="1"/>
      <c r="H455" s="1"/>
      <c r="I455" s="1"/>
      <c r="J455" s="1"/>
      <c r="K455" s="1"/>
      <c r="L455" s="1"/>
      <c r="M455" s="1"/>
      <c r="N455" s="1"/>
    </row>
    <row r="456" spans="2:14" x14ac:dyDescent="0.4">
      <c r="B456" s="1"/>
      <c r="C456" s="1"/>
      <c r="D456" s="1"/>
      <c r="E456" s="1"/>
      <c r="F456" s="1"/>
      <c r="G456" s="1"/>
      <c r="H456" s="1"/>
      <c r="I456" s="1"/>
      <c r="J456" s="1"/>
      <c r="K456" s="1"/>
      <c r="L456" s="1"/>
      <c r="M456" s="1"/>
      <c r="N456" s="1"/>
    </row>
    <row r="457" spans="2:14" x14ac:dyDescent="0.4">
      <c r="B457" s="1"/>
      <c r="C457" s="1"/>
      <c r="D457" s="1"/>
      <c r="E457" s="1"/>
      <c r="F457" s="1"/>
      <c r="G457" s="1"/>
      <c r="H457" s="1"/>
      <c r="I457" s="1"/>
      <c r="J457" s="1"/>
      <c r="K457" s="1"/>
      <c r="L457" s="1"/>
      <c r="M457" s="1"/>
      <c r="N457" s="1"/>
    </row>
    <row r="458" spans="2:14" x14ac:dyDescent="0.4">
      <c r="B458" s="1"/>
      <c r="C458" s="1"/>
      <c r="D458" s="1"/>
      <c r="E458" s="1"/>
      <c r="F458" s="1"/>
      <c r="G458" s="1"/>
      <c r="H458" s="1"/>
      <c r="I458" s="1"/>
      <c r="J458" s="1"/>
      <c r="K458" s="1"/>
      <c r="L458" s="1"/>
      <c r="M458" s="1"/>
      <c r="N458" s="1"/>
    </row>
    <row r="459" spans="2:14" x14ac:dyDescent="0.4">
      <c r="B459" s="1"/>
      <c r="C459" s="1"/>
      <c r="D459" s="1"/>
      <c r="E459" s="1"/>
      <c r="F459" s="1"/>
      <c r="G459" s="1"/>
      <c r="H459" s="1"/>
      <c r="I459" s="1"/>
      <c r="J459" s="1"/>
      <c r="K459" s="1"/>
      <c r="L459" s="1"/>
      <c r="M459" s="1"/>
      <c r="N459" s="1"/>
    </row>
    <row r="460" spans="2:14" x14ac:dyDescent="0.4">
      <c r="B460" s="1"/>
      <c r="C460" s="1"/>
      <c r="D460" s="1"/>
      <c r="E460" s="1"/>
      <c r="F460" s="1"/>
      <c r="G460" s="1"/>
      <c r="H460" s="1"/>
      <c r="I460" s="1"/>
      <c r="J460" s="1"/>
      <c r="K460" s="1"/>
      <c r="L460" s="1"/>
      <c r="M460" s="1"/>
      <c r="N460" s="1"/>
    </row>
    <row r="461" spans="2:14" x14ac:dyDescent="0.4">
      <c r="B461" s="1"/>
      <c r="C461" s="1"/>
      <c r="D461" s="1"/>
      <c r="E461" s="1"/>
      <c r="F461" s="1"/>
      <c r="G461" s="1"/>
      <c r="H461" s="1"/>
      <c r="I461" s="1"/>
      <c r="J461" s="1"/>
      <c r="K461" s="1"/>
      <c r="L461" s="1"/>
      <c r="M461" s="1"/>
      <c r="N461" s="1"/>
    </row>
    <row r="462" spans="2:14" x14ac:dyDescent="0.4">
      <c r="B462" s="1"/>
      <c r="C462" s="1"/>
      <c r="D462" s="1"/>
      <c r="E462" s="1"/>
      <c r="F462" s="1"/>
      <c r="G462" s="1"/>
      <c r="H462" s="1"/>
      <c r="I462" s="1"/>
      <c r="J462" s="1"/>
      <c r="K462" s="1"/>
      <c r="L462" s="1"/>
      <c r="M462" s="1"/>
      <c r="N462" s="1"/>
    </row>
    <row r="463" spans="2:14" x14ac:dyDescent="0.4">
      <c r="B463" s="1"/>
      <c r="C463" s="1"/>
      <c r="D463" s="1"/>
      <c r="E463" s="1"/>
      <c r="F463" s="1"/>
      <c r="G463" s="1"/>
      <c r="H463" s="1"/>
      <c r="I463" s="1"/>
      <c r="J463" s="1"/>
      <c r="K463" s="1"/>
      <c r="L463" s="1"/>
      <c r="M463" s="1"/>
      <c r="N463" s="1"/>
    </row>
    <row r="464" spans="2:14" x14ac:dyDescent="0.4">
      <c r="B464" s="1"/>
      <c r="C464" s="1"/>
      <c r="D464" s="1"/>
      <c r="E464" s="1"/>
      <c r="F464" s="1"/>
      <c r="G464" s="1"/>
      <c r="H464" s="1"/>
      <c r="I464" s="1"/>
      <c r="J464" s="1"/>
      <c r="K464" s="1"/>
      <c r="L464" s="1"/>
      <c r="M464" s="1"/>
      <c r="N464" s="1"/>
    </row>
    <row r="465" spans="2:14" x14ac:dyDescent="0.4">
      <c r="B465" s="1"/>
      <c r="C465" s="1"/>
      <c r="D465" s="1"/>
      <c r="E465" s="1"/>
      <c r="F465" s="1"/>
      <c r="G465" s="1"/>
      <c r="H465" s="1"/>
      <c r="I465" s="1"/>
      <c r="J465" s="1"/>
      <c r="K465" s="1"/>
      <c r="L465" s="1"/>
      <c r="M465" s="1"/>
      <c r="N465" s="1"/>
    </row>
    <row r="466" spans="2:14" x14ac:dyDescent="0.4">
      <c r="B466" s="1"/>
      <c r="C466" s="1"/>
      <c r="D466" s="1"/>
      <c r="E466" s="1"/>
      <c r="F466" s="1"/>
      <c r="G466" s="1"/>
      <c r="H466" s="1"/>
      <c r="I466" s="1"/>
      <c r="J466" s="1"/>
      <c r="K466" s="1"/>
      <c r="L466" s="1"/>
      <c r="M466" s="1"/>
      <c r="N466" s="1"/>
    </row>
    <row r="467" spans="2:14" x14ac:dyDescent="0.4">
      <c r="B467" s="1"/>
      <c r="C467" s="1"/>
      <c r="D467" s="1"/>
      <c r="E467" s="1"/>
      <c r="F467" s="1"/>
      <c r="G467" s="1"/>
      <c r="H467" s="1"/>
      <c r="I467" s="1"/>
      <c r="J467" s="1"/>
      <c r="K467" s="1"/>
      <c r="L467" s="1"/>
      <c r="M467" s="1"/>
      <c r="N467" s="1"/>
    </row>
    <row r="468" spans="2:14" x14ac:dyDescent="0.4">
      <c r="B468" s="1"/>
      <c r="C468" s="1"/>
      <c r="D468" s="1"/>
      <c r="E468" s="1"/>
      <c r="F468" s="1"/>
      <c r="G468" s="1"/>
      <c r="H468" s="1"/>
      <c r="I468" s="1"/>
      <c r="J468" s="1"/>
      <c r="K468" s="1"/>
      <c r="L468" s="1"/>
      <c r="M468" s="1"/>
      <c r="N468" s="1"/>
    </row>
    <row r="469" spans="2:14" x14ac:dyDescent="0.4">
      <c r="B469" s="1"/>
      <c r="C469" s="1"/>
      <c r="D469" s="1"/>
      <c r="E469" s="1"/>
      <c r="F469" s="1"/>
      <c r="G469" s="1"/>
      <c r="H469" s="1"/>
      <c r="I469" s="1"/>
      <c r="J469" s="1"/>
      <c r="K469" s="1"/>
      <c r="L469" s="1"/>
      <c r="M469" s="1"/>
      <c r="N469" s="1"/>
    </row>
    <row r="470" spans="2:14" x14ac:dyDescent="0.4">
      <c r="B470" s="1"/>
      <c r="C470" s="1"/>
      <c r="D470" s="1"/>
      <c r="E470" s="1"/>
      <c r="F470" s="1"/>
      <c r="G470" s="1"/>
      <c r="H470" s="1"/>
      <c r="I470" s="1"/>
      <c r="J470" s="1"/>
      <c r="K470" s="1"/>
      <c r="L470" s="1"/>
      <c r="M470" s="1"/>
      <c r="N470" s="1"/>
    </row>
    <row r="471" spans="2:14" x14ac:dyDescent="0.4">
      <c r="B471" s="1"/>
      <c r="C471" s="1"/>
      <c r="D471" s="1"/>
      <c r="E471" s="1"/>
      <c r="F471" s="1"/>
      <c r="G471" s="1"/>
      <c r="H471" s="1"/>
      <c r="I471" s="1"/>
      <c r="J471" s="1"/>
      <c r="K471" s="1"/>
      <c r="L471" s="1"/>
      <c r="M471" s="1"/>
      <c r="N471" s="1"/>
    </row>
    <row r="472" spans="2:14" x14ac:dyDescent="0.4">
      <c r="B472" s="1"/>
      <c r="C472" s="1"/>
      <c r="D472" s="1"/>
      <c r="E472" s="1"/>
      <c r="F472" s="1"/>
      <c r="G472" s="1"/>
      <c r="H472" s="1"/>
      <c r="I472" s="1"/>
      <c r="J472" s="1"/>
      <c r="K472" s="1"/>
      <c r="L472" s="1"/>
      <c r="M472" s="1"/>
      <c r="N472" s="1"/>
    </row>
    <row r="473" spans="2:14" x14ac:dyDescent="0.4">
      <c r="B473" s="1"/>
      <c r="C473" s="1"/>
      <c r="D473" s="1"/>
      <c r="E473" s="1"/>
      <c r="F473" s="1"/>
      <c r="G473" s="1"/>
      <c r="H473" s="1"/>
      <c r="I473" s="1"/>
      <c r="J473" s="1"/>
      <c r="K473" s="1"/>
      <c r="L473" s="1"/>
      <c r="M473" s="1"/>
      <c r="N473" s="1"/>
    </row>
    <row r="474" spans="2:14" x14ac:dyDescent="0.4">
      <c r="B474" s="1"/>
      <c r="C474" s="1"/>
      <c r="D474" s="1"/>
      <c r="E474" s="1"/>
      <c r="F474" s="1"/>
      <c r="G474" s="1"/>
      <c r="H474" s="1"/>
      <c r="I474" s="1"/>
      <c r="J474" s="1"/>
      <c r="K474" s="1"/>
      <c r="L474" s="1"/>
      <c r="M474" s="1"/>
      <c r="N474" s="1"/>
    </row>
    <row r="475" spans="2:14" x14ac:dyDescent="0.4">
      <c r="B475" s="1"/>
      <c r="C475" s="1"/>
      <c r="D475" s="1"/>
      <c r="E475" s="1"/>
      <c r="F475" s="1"/>
      <c r="G475" s="1"/>
      <c r="H475" s="1"/>
      <c r="I475" s="1"/>
      <c r="J475" s="1"/>
      <c r="K475" s="1"/>
      <c r="L475" s="1"/>
      <c r="M475" s="1"/>
      <c r="N475" s="1"/>
    </row>
    <row r="476" spans="2:14" x14ac:dyDescent="0.4">
      <c r="B476" s="1"/>
      <c r="C476" s="1"/>
      <c r="D476" s="1"/>
      <c r="E476" s="1"/>
      <c r="F476" s="1"/>
      <c r="G476" s="1"/>
      <c r="H476" s="1"/>
      <c r="I476" s="1"/>
      <c r="J476" s="1"/>
      <c r="K476" s="1"/>
      <c r="L476" s="1"/>
      <c r="M476" s="1"/>
      <c r="N476" s="1"/>
    </row>
    <row r="477" spans="2:14" x14ac:dyDescent="0.4">
      <c r="B477" s="1"/>
      <c r="C477" s="1"/>
      <c r="D477" s="1"/>
      <c r="E477" s="1"/>
      <c r="F477" s="1"/>
      <c r="G477" s="1"/>
      <c r="H477" s="1"/>
      <c r="I477" s="1"/>
      <c r="J477" s="1"/>
      <c r="K477" s="1"/>
      <c r="L477" s="1"/>
      <c r="M477" s="1"/>
      <c r="N477" s="1"/>
    </row>
    <row r="478" spans="2:14" x14ac:dyDescent="0.4">
      <c r="B478" s="1"/>
      <c r="C478" s="1"/>
      <c r="D478" s="1"/>
      <c r="E478" s="1"/>
      <c r="F478" s="1"/>
      <c r="G478" s="1"/>
      <c r="H478" s="1"/>
      <c r="I478" s="1"/>
      <c r="J478" s="1"/>
      <c r="K478" s="1"/>
      <c r="L478" s="1"/>
      <c r="M478" s="1"/>
      <c r="N478" s="1"/>
    </row>
    <row r="479" spans="2:14" x14ac:dyDescent="0.4">
      <c r="B479" s="1"/>
      <c r="C479" s="1"/>
      <c r="D479" s="1"/>
      <c r="E479" s="1"/>
      <c r="F479" s="1"/>
      <c r="G479" s="1"/>
      <c r="H479" s="1"/>
      <c r="I479" s="1"/>
      <c r="J479" s="1"/>
      <c r="K479" s="1"/>
      <c r="L479" s="1"/>
      <c r="M479" s="1"/>
      <c r="N479" s="1"/>
    </row>
    <row r="480" spans="2:14" x14ac:dyDescent="0.4">
      <c r="B480" s="1"/>
      <c r="C480" s="1"/>
      <c r="D480" s="1"/>
      <c r="E480" s="1"/>
      <c r="F480" s="1"/>
      <c r="G480" s="1"/>
      <c r="H480" s="1"/>
      <c r="I480" s="1"/>
      <c r="J480" s="1"/>
      <c r="K480" s="1"/>
      <c r="L480" s="1"/>
      <c r="M480" s="1"/>
      <c r="N480" s="1"/>
    </row>
    <row r="481" spans="2:14" x14ac:dyDescent="0.4">
      <c r="B481" s="1"/>
      <c r="C481" s="1"/>
      <c r="D481" s="1"/>
      <c r="E481" s="1"/>
      <c r="F481" s="1"/>
      <c r="G481" s="1"/>
      <c r="H481" s="1"/>
      <c r="I481" s="1"/>
      <c r="J481" s="1"/>
      <c r="K481" s="1"/>
      <c r="L481" s="1"/>
      <c r="M481" s="1"/>
      <c r="N481" s="1"/>
    </row>
    <row r="482" spans="2:14" x14ac:dyDescent="0.4">
      <c r="B482" s="1"/>
      <c r="C482" s="1"/>
      <c r="D482" s="1"/>
      <c r="E482" s="1"/>
      <c r="F482" s="1"/>
      <c r="G482" s="1"/>
      <c r="H482" s="1"/>
      <c r="I482" s="1"/>
      <c r="J482" s="1"/>
      <c r="K482" s="1"/>
      <c r="L482" s="1"/>
      <c r="M482" s="1"/>
      <c r="N482" s="1"/>
    </row>
    <row r="483" spans="2:14" x14ac:dyDescent="0.4">
      <c r="B483" s="1"/>
      <c r="C483" s="1"/>
      <c r="D483" s="1"/>
      <c r="E483" s="1"/>
      <c r="F483" s="1"/>
      <c r="G483" s="1"/>
      <c r="H483" s="1"/>
      <c r="I483" s="1"/>
      <c r="J483" s="1"/>
      <c r="K483" s="1"/>
      <c r="L483" s="1"/>
      <c r="M483" s="1"/>
      <c r="N483" s="1"/>
    </row>
    <row r="484" spans="2:14" x14ac:dyDescent="0.4">
      <c r="B484" s="1"/>
      <c r="C484" s="1"/>
      <c r="D484" s="1"/>
      <c r="E484" s="1"/>
      <c r="F484" s="1"/>
      <c r="G484" s="1"/>
      <c r="H484" s="1"/>
      <c r="I484" s="1"/>
      <c r="J484" s="1"/>
      <c r="K484" s="1"/>
      <c r="L484" s="1"/>
      <c r="M484" s="1"/>
      <c r="N484" s="1"/>
    </row>
    <row r="485" spans="2:14" x14ac:dyDescent="0.4">
      <c r="B485" s="1"/>
      <c r="C485" s="1"/>
      <c r="D485" s="1"/>
      <c r="E485" s="1"/>
      <c r="F485" s="1"/>
      <c r="G485" s="1"/>
      <c r="H485" s="1"/>
      <c r="I485" s="1"/>
      <c r="J485" s="1"/>
      <c r="K485" s="1"/>
      <c r="L485" s="1"/>
      <c r="M485" s="1"/>
      <c r="N485" s="1"/>
    </row>
    <row r="486" spans="2:14" x14ac:dyDescent="0.4">
      <c r="B486" s="1"/>
      <c r="C486" s="1"/>
      <c r="D486" s="1"/>
      <c r="E486" s="1"/>
      <c r="F486" s="1"/>
      <c r="G486" s="1"/>
      <c r="H486" s="1"/>
      <c r="I486" s="1"/>
      <c r="J486" s="1"/>
      <c r="K486" s="1"/>
      <c r="L486" s="1"/>
      <c r="M486" s="1"/>
      <c r="N486" s="1"/>
    </row>
    <row r="487" spans="2:14" x14ac:dyDescent="0.4">
      <c r="B487" s="1"/>
      <c r="C487" s="1"/>
      <c r="D487" s="1"/>
      <c r="E487" s="1"/>
      <c r="F487" s="1"/>
      <c r="G487" s="1"/>
      <c r="H487" s="1"/>
      <c r="I487" s="1"/>
      <c r="J487" s="1"/>
      <c r="K487" s="1"/>
      <c r="L487" s="1"/>
      <c r="M487" s="1"/>
      <c r="N487" s="1"/>
    </row>
    <row r="488" spans="2:14" x14ac:dyDescent="0.4">
      <c r="B488" s="1"/>
      <c r="C488" s="1"/>
      <c r="D488" s="1"/>
      <c r="E488" s="1"/>
      <c r="F488" s="1"/>
      <c r="G488" s="1"/>
      <c r="H488" s="1"/>
      <c r="I488" s="1"/>
      <c r="J488" s="1"/>
      <c r="K488" s="1"/>
      <c r="L488" s="1"/>
      <c r="M488" s="1"/>
      <c r="N488" s="1"/>
    </row>
    <row r="489" spans="2:14" x14ac:dyDescent="0.4">
      <c r="B489" s="1"/>
      <c r="C489" s="1"/>
      <c r="D489" s="1"/>
      <c r="E489" s="1"/>
      <c r="F489" s="1"/>
      <c r="G489" s="1"/>
      <c r="H489" s="1"/>
      <c r="I489" s="1"/>
      <c r="J489" s="1"/>
      <c r="K489" s="1"/>
      <c r="L489" s="1"/>
      <c r="M489" s="1"/>
      <c r="N489" s="1"/>
    </row>
    <row r="490" spans="2:14" x14ac:dyDescent="0.4">
      <c r="B490" s="1"/>
      <c r="C490" s="1"/>
      <c r="D490" s="1"/>
      <c r="E490" s="1"/>
      <c r="F490" s="1"/>
      <c r="G490" s="1"/>
      <c r="H490" s="1"/>
      <c r="I490" s="1"/>
      <c r="J490" s="1"/>
      <c r="K490" s="1"/>
      <c r="L490" s="1"/>
      <c r="M490" s="1"/>
      <c r="N490" s="1"/>
    </row>
    <row r="491" spans="2:14" x14ac:dyDescent="0.4">
      <c r="B491" s="1"/>
      <c r="C491" s="1"/>
      <c r="D491" s="1"/>
      <c r="E491" s="1"/>
      <c r="F491" s="1"/>
      <c r="G491" s="1"/>
      <c r="H491" s="1"/>
      <c r="I491" s="1"/>
      <c r="J491" s="1"/>
      <c r="K491" s="1"/>
      <c r="L491" s="1"/>
      <c r="M491" s="1"/>
      <c r="N491" s="1"/>
    </row>
    <row r="492" spans="2:14" x14ac:dyDescent="0.4">
      <c r="B492" s="1"/>
      <c r="C492" s="1"/>
      <c r="D492" s="1"/>
      <c r="E492" s="1"/>
      <c r="F492" s="1"/>
      <c r="G492" s="1"/>
      <c r="H492" s="1"/>
      <c r="I492" s="1"/>
      <c r="J492" s="1"/>
      <c r="K492" s="1"/>
      <c r="L492" s="1"/>
      <c r="M492" s="1"/>
      <c r="N492" s="1"/>
    </row>
    <row r="493" spans="2:14" x14ac:dyDescent="0.4">
      <c r="B493" s="1"/>
      <c r="C493" s="1"/>
      <c r="D493" s="1"/>
      <c r="E493" s="1"/>
      <c r="F493" s="1"/>
      <c r="G493" s="1"/>
      <c r="H493" s="1"/>
      <c r="I493" s="1"/>
      <c r="J493" s="1"/>
      <c r="K493" s="1"/>
      <c r="L493" s="1"/>
      <c r="M493" s="1"/>
      <c r="N493" s="1"/>
    </row>
    <row r="494" spans="2:14" x14ac:dyDescent="0.4">
      <c r="B494" s="1"/>
      <c r="C494" s="1"/>
      <c r="D494" s="1"/>
      <c r="E494" s="1"/>
      <c r="F494" s="1"/>
      <c r="G494" s="1"/>
      <c r="H494" s="1"/>
      <c r="I494" s="1"/>
      <c r="J494" s="1"/>
      <c r="K494" s="1"/>
      <c r="L494" s="1"/>
      <c r="M494" s="1"/>
      <c r="N494" s="1"/>
    </row>
    <row r="495" spans="2:14" x14ac:dyDescent="0.4">
      <c r="B495" s="1"/>
      <c r="C495" s="1"/>
      <c r="D495" s="1"/>
      <c r="E495" s="1"/>
      <c r="F495" s="1"/>
      <c r="G495" s="1"/>
      <c r="H495" s="1"/>
      <c r="I495" s="1"/>
      <c r="J495" s="1"/>
      <c r="K495" s="1"/>
      <c r="L495" s="1"/>
      <c r="M495" s="1"/>
      <c r="N495" s="1"/>
    </row>
    <row r="496" spans="2:14" x14ac:dyDescent="0.4">
      <c r="B496" s="1"/>
      <c r="C496" s="1"/>
      <c r="D496" s="1"/>
      <c r="E496" s="1"/>
      <c r="F496" s="1"/>
      <c r="G496" s="1"/>
      <c r="H496" s="1"/>
      <c r="I496" s="1"/>
      <c r="J496" s="1"/>
      <c r="K496" s="1"/>
      <c r="L496" s="1"/>
      <c r="M496" s="1"/>
      <c r="N496" s="1"/>
    </row>
    <row r="497" spans="2:14" x14ac:dyDescent="0.4">
      <c r="B497" s="1"/>
      <c r="C497" s="1"/>
      <c r="D497" s="1"/>
      <c r="E497" s="1"/>
      <c r="F497" s="1"/>
      <c r="G497" s="1"/>
      <c r="H497" s="1"/>
      <c r="I497" s="1"/>
      <c r="J497" s="1"/>
      <c r="K497" s="1"/>
      <c r="L497" s="1"/>
      <c r="M497" s="1"/>
      <c r="N497" s="1"/>
    </row>
    <row r="498" spans="2:14" x14ac:dyDescent="0.4">
      <c r="B498" s="1"/>
      <c r="C498" s="1"/>
      <c r="D498" s="1"/>
      <c r="E498" s="1"/>
      <c r="F498" s="1"/>
      <c r="G498" s="1"/>
      <c r="H498" s="1"/>
      <c r="I498" s="1"/>
      <c r="J498" s="1"/>
      <c r="K498" s="1"/>
      <c r="L498" s="1"/>
      <c r="M498" s="1"/>
      <c r="N498" s="1"/>
    </row>
    <row r="499" spans="2:14" x14ac:dyDescent="0.4">
      <c r="B499" s="1"/>
      <c r="C499" s="1"/>
      <c r="D499" s="1"/>
      <c r="E499" s="1"/>
      <c r="F499" s="1"/>
      <c r="G499" s="1"/>
      <c r="H499" s="1"/>
      <c r="I499" s="1"/>
      <c r="J499" s="1"/>
      <c r="K499" s="1"/>
      <c r="L499" s="1"/>
      <c r="M499" s="1"/>
      <c r="N499" s="1"/>
    </row>
    <row r="500" spans="2:14" x14ac:dyDescent="0.4">
      <c r="B500" s="1"/>
      <c r="C500" s="1"/>
      <c r="D500" s="1"/>
      <c r="E500" s="1"/>
      <c r="F500" s="1"/>
      <c r="G500" s="1"/>
      <c r="H500" s="1"/>
      <c r="I500" s="1"/>
      <c r="J500" s="1"/>
      <c r="K500" s="1"/>
      <c r="L500" s="1"/>
      <c r="M500" s="1"/>
      <c r="N500" s="1"/>
    </row>
    <row r="501" spans="2:14" x14ac:dyDescent="0.4">
      <c r="B501" s="1"/>
      <c r="C501" s="1"/>
      <c r="D501" s="1"/>
      <c r="E501" s="1"/>
      <c r="F501" s="1"/>
      <c r="G501" s="1"/>
      <c r="H501" s="1"/>
      <c r="I501" s="1"/>
      <c r="J501" s="1"/>
      <c r="K501" s="1"/>
      <c r="L501" s="1"/>
      <c r="M501" s="1"/>
      <c r="N501" s="1"/>
    </row>
    <row r="502" spans="2:14" x14ac:dyDescent="0.4">
      <c r="B502" s="1"/>
      <c r="C502" s="1"/>
      <c r="D502" s="1"/>
      <c r="E502" s="1"/>
      <c r="F502" s="1"/>
      <c r="G502" s="1"/>
      <c r="H502" s="1"/>
      <c r="I502" s="1"/>
      <c r="J502" s="1"/>
      <c r="K502" s="1"/>
      <c r="L502" s="1"/>
      <c r="M502" s="1"/>
      <c r="N502" s="1"/>
    </row>
    <row r="503" spans="2:14" x14ac:dyDescent="0.4">
      <c r="B503" s="1"/>
      <c r="C503" s="1"/>
      <c r="D503" s="1"/>
      <c r="E503" s="1"/>
      <c r="F503" s="1"/>
      <c r="G503" s="1"/>
      <c r="H503" s="1"/>
      <c r="I503" s="1"/>
      <c r="J503" s="1"/>
      <c r="K503" s="1"/>
      <c r="L503" s="1"/>
      <c r="M503" s="1"/>
      <c r="N503" s="1"/>
    </row>
    <row r="504" spans="2:14" x14ac:dyDescent="0.4">
      <c r="B504" s="1"/>
      <c r="C504" s="1"/>
      <c r="D504" s="1"/>
      <c r="E504" s="1"/>
      <c r="F504" s="1"/>
      <c r="G504" s="1"/>
      <c r="H504" s="1"/>
      <c r="I504" s="1"/>
      <c r="J504" s="1"/>
      <c r="K504" s="1"/>
      <c r="L504" s="1"/>
      <c r="M504" s="1"/>
      <c r="N504" s="1"/>
    </row>
    <row r="505" spans="2:14" x14ac:dyDescent="0.4">
      <c r="B505" s="1"/>
      <c r="C505" s="1"/>
      <c r="D505" s="1"/>
      <c r="E505" s="1"/>
      <c r="F505" s="1"/>
      <c r="G505" s="1"/>
      <c r="H505" s="1"/>
      <c r="I505" s="1"/>
      <c r="J505" s="1"/>
      <c r="K505" s="1"/>
      <c r="L505" s="1"/>
      <c r="M505" s="1"/>
      <c r="N505" s="1"/>
    </row>
    <row r="506" spans="2:14" x14ac:dyDescent="0.4">
      <c r="B506" s="1"/>
      <c r="C506" s="1"/>
      <c r="D506" s="1"/>
      <c r="E506" s="1"/>
      <c r="F506" s="1"/>
      <c r="G506" s="1"/>
      <c r="H506" s="1"/>
      <c r="I506" s="1"/>
      <c r="J506" s="1"/>
      <c r="K506" s="1"/>
      <c r="L506" s="1"/>
      <c r="M506" s="1"/>
      <c r="N506" s="1"/>
    </row>
    <row r="507" spans="2:14" x14ac:dyDescent="0.4">
      <c r="B507" s="1"/>
      <c r="C507" s="1"/>
      <c r="D507" s="1"/>
      <c r="E507" s="1"/>
      <c r="F507" s="1"/>
      <c r="G507" s="1"/>
      <c r="H507" s="1"/>
      <c r="I507" s="1"/>
      <c r="J507" s="1"/>
      <c r="K507" s="1"/>
      <c r="L507" s="1"/>
      <c r="M507" s="1"/>
      <c r="N507" s="1"/>
    </row>
    <row r="508" spans="2:14" x14ac:dyDescent="0.4">
      <c r="B508" s="1"/>
      <c r="C508" s="1"/>
      <c r="D508" s="1"/>
      <c r="E508" s="1"/>
      <c r="F508" s="1"/>
      <c r="G508" s="1"/>
      <c r="H508" s="1"/>
      <c r="I508" s="1"/>
      <c r="J508" s="1"/>
      <c r="K508" s="1"/>
      <c r="L508" s="1"/>
      <c r="M508" s="1"/>
      <c r="N508" s="1"/>
    </row>
    <row r="509" spans="2:14" x14ac:dyDescent="0.4">
      <c r="B509" s="1"/>
      <c r="C509" s="1"/>
      <c r="D509" s="1"/>
      <c r="E509" s="1"/>
      <c r="F509" s="1"/>
      <c r="G509" s="1"/>
      <c r="H509" s="1"/>
      <c r="I509" s="1"/>
      <c r="J509" s="1"/>
      <c r="K509" s="1"/>
      <c r="L509" s="1"/>
      <c r="M509" s="1"/>
      <c r="N509" s="1"/>
    </row>
    <row r="510" spans="2:14" x14ac:dyDescent="0.4">
      <c r="B510" s="1"/>
      <c r="C510" s="1"/>
      <c r="D510" s="1"/>
      <c r="E510" s="1"/>
      <c r="F510" s="1"/>
      <c r="G510" s="1"/>
      <c r="H510" s="1"/>
      <c r="I510" s="1"/>
      <c r="J510" s="1"/>
      <c r="K510" s="1"/>
      <c r="L510" s="1"/>
      <c r="M510" s="1"/>
      <c r="N510" s="1"/>
    </row>
    <row r="511" spans="2:14" x14ac:dyDescent="0.4">
      <c r="B511" s="1"/>
      <c r="C511" s="1"/>
      <c r="D511" s="1"/>
      <c r="E511" s="1"/>
      <c r="F511" s="1"/>
      <c r="G511" s="1"/>
      <c r="H511" s="1"/>
      <c r="I511" s="1"/>
      <c r="J511" s="1"/>
      <c r="K511" s="1"/>
      <c r="L511" s="1"/>
      <c r="M511" s="1"/>
      <c r="N511" s="1"/>
    </row>
    <row r="512" spans="2:14" x14ac:dyDescent="0.4">
      <c r="B512" s="1"/>
      <c r="C512" s="1"/>
      <c r="D512" s="1"/>
      <c r="E512" s="1"/>
      <c r="F512" s="1"/>
      <c r="G512" s="1"/>
      <c r="H512" s="1"/>
      <c r="I512" s="1"/>
      <c r="J512" s="1"/>
      <c r="K512" s="1"/>
      <c r="L512" s="1"/>
      <c r="M512" s="1"/>
      <c r="N512" s="1"/>
    </row>
    <row r="513" spans="2:14" x14ac:dyDescent="0.4">
      <c r="B513" s="1"/>
      <c r="C513" s="1"/>
      <c r="D513" s="1"/>
      <c r="E513" s="1"/>
      <c r="F513" s="1"/>
      <c r="G513" s="1"/>
      <c r="H513" s="1"/>
      <c r="I513" s="1"/>
      <c r="J513" s="1"/>
      <c r="K513" s="1"/>
      <c r="L513" s="1"/>
      <c r="M513" s="1"/>
      <c r="N513" s="1"/>
    </row>
    <row r="514" spans="2:14" x14ac:dyDescent="0.4">
      <c r="B514" s="1"/>
      <c r="C514" s="1"/>
      <c r="D514" s="1"/>
      <c r="E514" s="1"/>
      <c r="F514" s="1"/>
      <c r="G514" s="1"/>
      <c r="H514" s="1"/>
      <c r="I514" s="1"/>
      <c r="J514" s="1"/>
      <c r="K514" s="1"/>
      <c r="L514" s="1"/>
      <c r="M514" s="1"/>
      <c r="N514" s="1"/>
    </row>
    <row r="515" spans="2:14" x14ac:dyDescent="0.4">
      <c r="B515" s="1"/>
      <c r="C515" s="1"/>
      <c r="D515" s="1"/>
      <c r="E515" s="1"/>
      <c r="F515" s="1"/>
      <c r="G515" s="1"/>
      <c r="H515" s="1"/>
      <c r="I515" s="1"/>
      <c r="J515" s="1"/>
      <c r="K515" s="1"/>
      <c r="L515" s="1"/>
      <c r="M515" s="1"/>
      <c r="N515" s="1"/>
    </row>
    <row r="516" spans="2:14" x14ac:dyDescent="0.4">
      <c r="B516" s="1"/>
      <c r="C516" s="1"/>
      <c r="D516" s="1"/>
      <c r="E516" s="1"/>
      <c r="F516" s="1"/>
      <c r="G516" s="1"/>
      <c r="H516" s="1"/>
      <c r="I516" s="1"/>
      <c r="J516" s="1"/>
      <c r="K516" s="1"/>
      <c r="L516" s="1"/>
      <c r="M516" s="1"/>
      <c r="N516" s="1"/>
    </row>
    <row r="517" spans="2:14" x14ac:dyDescent="0.4">
      <c r="B517" s="1"/>
      <c r="C517" s="1"/>
      <c r="D517" s="1"/>
      <c r="E517" s="1"/>
      <c r="F517" s="1"/>
      <c r="G517" s="1"/>
      <c r="H517" s="1"/>
      <c r="I517" s="1"/>
      <c r="J517" s="1"/>
      <c r="K517" s="1"/>
      <c r="L517" s="1"/>
      <c r="M517" s="1"/>
      <c r="N517" s="1"/>
    </row>
    <row r="518" spans="2:14" x14ac:dyDescent="0.4">
      <c r="B518" s="1"/>
      <c r="C518" s="1"/>
      <c r="D518" s="1"/>
      <c r="E518" s="1"/>
      <c r="F518" s="1"/>
      <c r="G518" s="1"/>
      <c r="H518" s="1"/>
      <c r="I518" s="1"/>
      <c r="J518" s="1"/>
      <c r="K518" s="1"/>
      <c r="L518" s="1"/>
      <c r="M518" s="1"/>
      <c r="N518" s="1"/>
    </row>
    <row r="519" spans="2:14" x14ac:dyDescent="0.4">
      <c r="B519" s="1"/>
      <c r="C519" s="1"/>
      <c r="D519" s="1"/>
      <c r="E519" s="1"/>
      <c r="F519" s="1"/>
      <c r="G519" s="1"/>
      <c r="H519" s="1"/>
      <c r="I519" s="1"/>
      <c r="J519" s="1"/>
      <c r="K519" s="1"/>
      <c r="L519" s="1"/>
      <c r="M519" s="1"/>
      <c r="N519" s="1"/>
    </row>
    <row r="520" spans="2:14" x14ac:dyDescent="0.4">
      <c r="B520" s="1"/>
      <c r="C520" s="1"/>
      <c r="D520" s="1"/>
      <c r="E520" s="1"/>
      <c r="F520" s="1"/>
      <c r="G520" s="1"/>
      <c r="H520" s="1"/>
      <c r="I520" s="1"/>
      <c r="J520" s="1"/>
      <c r="K520" s="1"/>
      <c r="L520" s="1"/>
      <c r="M520" s="1"/>
      <c r="N520" s="1"/>
    </row>
    <row r="521" spans="2:14" x14ac:dyDescent="0.4">
      <c r="B521" s="1"/>
      <c r="C521" s="1"/>
      <c r="D521" s="1"/>
      <c r="E521" s="1"/>
      <c r="F521" s="1"/>
      <c r="G521" s="1"/>
      <c r="H521" s="1"/>
      <c r="I521" s="1"/>
      <c r="J521" s="1"/>
      <c r="K521" s="1"/>
      <c r="L521" s="1"/>
      <c r="M521" s="1"/>
      <c r="N521" s="1"/>
    </row>
    <row r="522" spans="2:14" x14ac:dyDescent="0.4">
      <c r="B522" s="1"/>
      <c r="C522" s="1"/>
      <c r="D522" s="1"/>
      <c r="E522" s="1"/>
      <c r="F522" s="1"/>
      <c r="G522" s="1"/>
      <c r="H522" s="1"/>
      <c r="I522" s="1"/>
      <c r="J522" s="1"/>
      <c r="K522" s="1"/>
      <c r="L522" s="1"/>
      <c r="M522" s="1"/>
      <c r="N522" s="1"/>
    </row>
    <row r="523" spans="2:14" x14ac:dyDescent="0.4">
      <c r="B523" s="1"/>
      <c r="C523" s="1"/>
      <c r="D523" s="1"/>
      <c r="E523" s="1"/>
      <c r="F523" s="1"/>
      <c r="G523" s="1"/>
      <c r="H523" s="1"/>
      <c r="I523" s="1"/>
      <c r="J523" s="1"/>
      <c r="K523" s="1"/>
      <c r="L523" s="1"/>
      <c r="M523" s="1"/>
      <c r="N523" s="1"/>
    </row>
    <row r="524" spans="2:14" x14ac:dyDescent="0.4">
      <c r="B524" s="1"/>
      <c r="C524" s="1"/>
      <c r="D524" s="1"/>
      <c r="E524" s="1"/>
      <c r="F524" s="1"/>
      <c r="G524" s="1"/>
      <c r="H524" s="1"/>
      <c r="I524" s="1"/>
      <c r="J524" s="1"/>
      <c r="K524" s="1"/>
      <c r="L524" s="1"/>
      <c r="M524" s="1"/>
      <c r="N524" s="1"/>
    </row>
    <row r="525" spans="2:14" x14ac:dyDescent="0.4">
      <c r="B525" s="1"/>
      <c r="C525" s="1"/>
      <c r="D525" s="1"/>
      <c r="E525" s="1"/>
      <c r="F525" s="1"/>
      <c r="G525" s="1"/>
      <c r="H525" s="1"/>
      <c r="I525" s="1"/>
      <c r="J525" s="1"/>
      <c r="K525" s="1"/>
      <c r="L525" s="1"/>
      <c r="M525" s="1"/>
      <c r="N525" s="1"/>
    </row>
    <row r="526" spans="2:14" x14ac:dyDescent="0.4">
      <c r="B526" s="1"/>
      <c r="C526" s="1"/>
      <c r="D526" s="1"/>
      <c r="E526" s="1"/>
      <c r="F526" s="1"/>
      <c r="G526" s="1"/>
      <c r="H526" s="1"/>
      <c r="I526" s="1"/>
      <c r="J526" s="1"/>
      <c r="K526" s="1"/>
      <c r="L526" s="1"/>
      <c r="M526" s="1"/>
      <c r="N526" s="1"/>
    </row>
    <row r="527" spans="2:14" x14ac:dyDescent="0.4">
      <c r="B527" s="1"/>
      <c r="C527" s="1"/>
      <c r="D527" s="1"/>
      <c r="E527" s="1"/>
      <c r="F527" s="1"/>
      <c r="G527" s="1"/>
      <c r="H527" s="1"/>
      <c r="I527" s="1"/>
      <c r="J527" s="1"/>
      <c r="K527" s="1"/>
      <c r="L527" s="1"/>
      <c r="M527" s="1"/>
      <c r="N527" s="1"/>
    </row>
    <row r="528" spans="2:14" x14ac:dyDescent="0.4">
      <c r="B528" s="1"/>
      <c r="C528" s="1"/>
      <c r="D528" s="1"/>
      <c r="E528" s="1"/>
      <c r="F528" s="1"/>
      <c r="G528" s="1"/>
      <c r="H528" s="1"/>
      <c r="I528" s="1"/>
      <c r="J528" s="1"/>
      <c r="K528" s="1"/>
      <c r="L528" s="1"/>
      <c r="M528" s="1"/>
      <c r="N528" s="1"/>
    </row>
    <row r="529" spans="2:14" x14ac:dyDescent="0.4">
      <c r="B529" s="1"/>
      <c r="C529" s="1"/>
      <c r="D529" s="1"/>
      <c r="E529" s="1"/>
      <c r="F529" s="1"/>
      <c r="G529" s="1"/>
      <c r="H529" s="1"/>
      <c r="I529" s="1"/>
      <c r="J529" s="1"/>
      <c r="K529" s="1"/>
      <c r="L529" s="1"/>
      <c r="M529" s="1"/>
      <c r="N529" s="1"/>
    </row>
    <row r="530" spans="2:14" x14ac:dyDescent="0.4">
      <c r="B530" s="1"/>
      <c r="C530" s="1"/>
      <c r="D530" s="1"/>
      <c r="E530" s="1"/>
      <c r="F530" s="1"/>
      <c r="G530" s="1"/>
      <c r="H530" s="1"/>
      <c r="I530" s="1"/>
      <c r="J530" s="1"/>
      <c r="K530" s="1"/>
      <c r="L530" s="1"/>
      <c r="M530" s="1"/>
      <c r="N530" s="1"/>
    </row>
    <row r="531" spans="2:14" x14ac:dyDescent="0.4">
      <c r="B531" s="1"/>
      <c r="C531" s="1"/>
      <c r="D531" s="1"/>
      <c r="E531" s="1"/>
      <c r="F531" s="1"/>
      <c r="G531" s="1"/>
      <c r="H531" s="1"/>
      <c r="I531" s="1"/>
      <c r="J531" s="1"/>
      <c r="K531" s="1"/>
      <c r="L531" s="1"/>
      <c r="M531" s="1"/>
      <c r="N531" s="1"/>
    </row>
    <row r="532" spans="2:14" x14ac:dyDescent="0.4">
      <c r="B532" s="1"/>
      <c r="C532" s="1"/>
      <c r="D532" s="1"/>
      <c r="E532" s="1"/>
      <c r="F532" s="1"/>
      <c r="G532" s="1"/>
      <c r="H532" s="1"/>
      <c r="I532" s="1"/>
      <c r="J532" s="1"/>
      <c r="K532" s="1"/>
      <c r="L532" s="1"/>
      <c r="M532" s="1"/>
      <c r="N532" s="1"/>
    </row>
    <row r="533" spans="2:14" x14ac:dyDescent="0.4">
      <c r="B533" s="1"/>
      <c r="C533" s="1"/>
      <c r="D533" s="1"/>
      <c r="E533" s="1"/>
      <c r="F533" s="1"/>
      <c r="G533" s="1"/>
      <c r="H533" s="1"/>
      <c r="I533" s="1"/>
      <c r="J533" s="1"/>
      <c r="K533" s="1"/>
      <c r="L533" s="1"/>
      <c r="M533" s="1"/>
      <c r="N533" s="1"/>
    </row>
    <row r="534" spans="2:14" x14ac:dyDescent="0.4">
      <c r="B534" s="1"/>
      <c r="C534" s="1"/>
      <c r="D534" s="1"/>
      <c r="E534" s="1"/>
      <c r="F534" s="1"/>
      <c r="G534" s="1"/>
      <c r="H534" s="1"/>
      <c r="I534" s="1"/>
      <c r="J534" s="1"/>
      <c r="K534" s="1"/>
      <c r="L534" s="1"/>
      <c r="M534" s="1"/>
      <c r="N534" s="1"/>
    </row>
    <row r="535" spans="2:14" x14ac:dyDescent="0.4">
      <c r="B535" s="1"/>
      <c r="C535" s="1"/>
      <c r="D535" s="1"/>
      <c r="E535" s="1"/>
      <c r="F535" s="1"/>
      <c r="G535" s="1"/>
      <c r="H535" s="1"/>
      <c r="I535" s="1"/>
      <c r="J535" s="1"/>
      <c r="K535" s="1"/>
      <c r="L535" s="1"/>
      <c r="M535" s="1"/>
      <c r="N535" s="1"/>
    </row>
    <row r="536" spans="2:14" x14ac:dyDescent="0.4">
      <c r="B536" s="1"/>
      <c r="C536" s="1"/>
      <c r="D536" s="1"/>
      <c r="E536" s="1"/>
      <c r="F536" s="1"/>
      <c r="G536" s="1"/>
      <c r="H536" s="1"/>
      <c r="I536" s="1"/>
      <c r="J536" s="1"/>
      <c r="K536" s="1"/>
      <c r="L536" s="1"/>
      <c r="M536" s="1"/>
      <c r="N536" s="1"/>
    </row>
    <row r="537" spans="2:14" x14ac:dyDescent="0.4">
      <c r="B537" s="1"/>
      <c r="C537" s="1"/>
      <c r="D537" s="1"/>
      <c r="E537" s="1"/>
      <c r="F537" s="1"/>
      <c r="G537" s="1"/>
      <c r="H537" s="1"/>
      <c r="I537" s="1"/>
      <c r="J537" s="1"/>
      <c r="K537" s="1"/>
      <c r="L537" s="1"/>
      <c r="M537" s="1"/>
      <c r="N537" s="1"/>
    </row>
    <row r="538" spans="2:14" x14ac:dyDescent="0.4">
      <c r="B538" s="1"/>
      <c r="C538" s="1"/>
      <c r="D538" s="1"/>
      <c r="E538" s="1"/>
      <c r="F538" s="1"/>
      <c r="G538" s="1"/>
      <c r="H538" s="1"/>
      <c r="I538" s="1"/>
      <c r="J538" s="1"/>
      <c r="K538" s="1"/>
      <c r="L538" s="1"/>
      <c r="M538" s="1"/>
      <c r="N538" s="1"/>
    </row>
    <row r="539" spans="2:14" x14ac:dyDescent="0.4">
      <c r="B539" s="1"/>
      <c r="C539" s="1"/>
      <c r="D539" s="1"/>
      <c r="E539" s="1"/>
      <c r="F539" s="1"/>
      <c r="G539" s="1"/>
      <c r="H539" s="1"/>
      <c r="I539" s="1"/>
      <c r="J539" s="1"/>
      <c r="K539" s="1"/>
      <c r="L539" s="1"/>
      <c r="M539" s="1"/>
      <c r="N539" s="1"/>
    </row>
    <row r="540" spans="2:14" x14ac:dyDescent="0.4">
      <c r="B540" s="1"/>
      <c r="C540" s="1"/>
      <c r="D540" s="1"/>
      <c r="E540" s="1"/>
      <c r="F540" s="1"/>
      <c r="G540" s="1"/>
      <c r="H540" s="1"/>
      <c r="I540" s="1"/>
      <c r="J540" s="1"/>
      <c r="K540" s="1"/>
      <c r="L540" s="1"/>
      <c r="M540" s="1"/>
      <c r="N540" s="1"/>
    </row>
    <row r="541" spans="2:14" x14ac:dyDescent="0.4">
      <c r="B541" s="1"/>
      <c r="C541" s="1"/>
      <c r="D541" s="1"/>
      <c r="E541" s="1"/>
      <c r="F541" s="1"/>
      <c r="G541" s="1"/>
      <c r="H541" s="1"/>
      <c r="I541" s="1"/>
      <c r="J541" s="1"/>
      <c r="K541" s="1"/>
      <c r="L541" s="1"/>
      <c r="M541" s="1"/>
      <c r="N541" s="1"/>
    </row>
    <row r="542" spans="2:14" x14ac:dyDescent="0.4">
      <c r="B542" s="1"/>
      <c r="C542" s="1"/>
      <c r="D542" s="1"/>
      <c r="E542" s="1"/>
      <c r="F542" s="1"/>
      <c r="G542" s="1"/>
      <c r="H542" s="1"/>
      <c r="I542" s="1"/>
      <c r="J542" s="1"/>
      <c r="K542" s="1"/>
      <c r="L542" s="1"/>
      <c r="M542" s="1"/>
      <c r="N542" s="1"/>
    </row>
    <row r="543" spans="2:14" x14ac:dyDescent="0.4">
      <c r="B543" s="1"/>
      <c r="C543" s="1"/>
      <c r="D543" s="1"/>
      <c r="E543" s="1"/>
      <c r="F543" s="1"/>
      <c r="G543" s="1"/>
      <c r="H543" s="1"/>
      <c r="I543" s="1"/>
      <c r="J543" s="1"/>
      <c r="K543" s="1"/>
      <c r="L543" s="1"/>
      <c r="M543" s="1"/>
      <c r="N543" s="1"/>
    </row>
    <row r="544" spans="2:14" x14ac:dyDescent="0.4">
      <c r="B544" s="1"/>
      <c r="C544" s="1"/>
      <c r="D544" s="1"/>
      <c r="E544" s="1"/>
      <c r="F544" s="1"/>
      <c r="G544" s="1"/>
      <c r="H544" s="1"/>
      <c r="I544" s="1"/>
      <c r="J544" s="1"/>
      <c r="K544" s="1"/>
      <c r="L544" s="1"/>
      <c r="M544" s="1"/>
      <c r="N544" s="1"/>
    </row>
    <row r="545" spans="2:14" x14ac:dyDescent="0.4">
      <c r="B545" s="1"/>
      <c r="C545" s="1"/>
      <c r="D545" s="1"/>
      <c r="E545" s="1"/>
      <c r="F545" s="1"/>
      <c r="G545" s="1"/>
      <c r="H545" s="1"/>
      <c r="I545" s="1"/>
      <c r="J545" s="1"/>
      <c r="K545" s="1"/>
      <c r="L545" s="1"/>
      <c r="M545" s="1"/>
      <c r="N545" s="1"/>
    </row>
    <row r="546" spans="2:14" x14ac:dyDescent="0.4">
      <c r="B546" s="1"/>
      <c r="C546" s="1"/>
      <c r="D546" s="1"/>
      <c r="E546" s="1"/>
      <c r="F546" s="1"/>
      <c r="G546" s="1"/>
      <c r="H546" s="1"/>
      <c r="I546" s="1"/>
      <c r="J546" s="1"/>
      <c r="K546" s="1"/>
      <c r="L546" s="1"/>
      <c r="M546" s="1"/>
      <c r="N546" s="1"/>
    </row>
    <row r="547" spans="2:14" x14ac:dyDescent="0.4">
      <c r="B547" s="1"/>
      <c r="C547" s="1"/>
      <c r="D547" s="1"/>
      <c r="E547" s="1"/>
      <c r="F547" s="1"/>
      <c r="G547" s="1"/>
      <c r="H547" s="1"/>
      <c r="I547" s="1"/>
      <c r="J547" s="1"/>
      <c r="K547" s="1"/>
      <c r="L547" s="1"/>
      <c r="M547" s="1"/>
      <c r="N547" s="1"/>
    </row>
    <row r="548" spans="2:14" x14ac:dyDescent="0.4">
      <c r="B548" s="1"/>
      <c r="C548" s="1"/>
      <c r="D548" s="1"/>
      <c r="E548" s="1"/>
      <c r="F548" s="1"/>
      <c r="G548" s="1"/>
      <c r="H548" s="1"/>
      <c r="I548" s="1"/>
      <c r="J548" s="1"/>
      <c r="K548" s="1"/>
      <c r="L548" s="1"/>
      <c r="M548" s="1"/>
      <c r="N548" s="1"/>
    </row>
    <row r="549" spans="2:14" x14ac:dyDescent="0.4">
      <c r="B549" s="1"/>
      <c r="C549" s="1"/>
      <c r="D549" s="1"/>
      <c r="E549" s="1"/>
      <c r="F549" s="1"/>
      <c r="G549" s="1"/>
      <c r="H549" s="1"/>
      <c r="I549" s="1"/>
      <c r="J549" s="1"/>
      <c r="K549" s="1"/>
      <c r="L549" s="1"/>
      <c r="M549" s="1"/>
      <c r="N549" s="1"/>
    </row>
    <row r="550" spans="2:14" x14ac:dyDescent="0.4">
      <c r="B550" s="1"/>
      <c r="C550" s="1"/>
      <c r="D550" s="1"/>
      <c r="E550" s="1"/>
      <c r="F550" s="1"/>
      <c r="G550" s="1"/>
      <c r="H550" s="1"/>
      <c r="I550" s="1"/>
      <c r="J550" s="1"/>
      <c r="K550" s="1"/>
      <c r="L550" s="1"/>
      <c r="M550" s="1"/>
      <c r="N550" s="1"/>
    </row>
    <row r="551" spans="2:14" x14ac:dyDescent="0.4">
      <c r="B551" s="1"/>
      <c r="C551" s="1"/>
      <c r="D551" s="1"/>
      <c r="E551" s="1"/>
      <c r="F551" s="1"/>
      <c r="G551" s="1"/>
      <c r="H551" s="1"/>
      <c r="I551" s="1"/>
      <c r="J551" s="1"/>
      <c r="K551" s="1"/>
      <c r="L551" s="1"/>
      <c r="M551" s="1"/>
      <c r="N551" s="1"/>
    </row>
    <row r="552" spans="2:14" x14ac:dyDescent="0.4">
      <c r="B552" s="1"/>
      <c r="C552" s="1"/>
      <c r="D552" s="1"/>
      <c r="E552" s="1"/>
      <c r="F552" s="1"/>
      <c r="G552" s="1"/>
      <c r="H552" s="1"/>
      <c r="I552" s="1"/>
      <c r="J552" s="1"/>
      <c r="K552" s="1"/>
      <c r="L552" s="1"/>
      <c r="M552" s="1"/>
      <c r="N552" s="1"/>
    </row>
    <row r="553" spans="2:14" x14ac:dyDescent="0.4">
      <c r="B553" s="1"/>
      <c r="C553" s="1"/>
      <c r="D553" s="1"/>
      <c r="E553" s="1"/>
      <c r="F553" s="1"/>
      <c r="G553" s="1"/>
      <c r="H553" s="1"/>
      <c r="I553" s="1"/>
      <c r="J553" s="1"/>
      <c r="K553" s="1"/>
      <c r="L553" s="1"/>
      <c r="M553" s="1"/>
      <c r="N553" s="1"/>
    </row>
    <row r="554" spans="2:14" x14ac:dyDescent="0.4">
      <c r="B554" s="1"/>
      <c r="C554" s="1"/>
      <c r="D554" s="1"/>
      <c r="E554" s="1"/>
      <c r="F554" s="1"/>
      <c r="G554" s="1"/>
      <c r="H554" s="1"/>
      <c r="I554" s="1"/>
      <c r="J554" s="1"/>
      <c r="K554" s="1"/>
      <c r="L554" s="1"/>
      <c r="M554" s="1"/>
      <c r="N554" s="1"/>
    </row>
    <row r="555" spans="2:14" x14ac:dyDescent="0.4">
      <c r="B555" s="1"/>
      <c r="C555" s="1"/>
      <c r="D555" s="1"/>
      <c r="E555" s="1"/>
      <c r="F555" s="1"/>
      <c r="G555" s="1"/>
      <c r="H555" s="1"/>
      <c r="I555" s="1"/>
      <c r="J555" s="1"/>
      <c r="K555" s="1"/>
      <c r="L555" s="1"/>
      <c r="M555" s="1"/>
      <c r="N555" s="1"/>
    </row>
    <row r="556" spans="2:14" x14ac:dyDescent="0.4">
      <c r="B556" s="1"/>
      <c r="C556" s="1"/>
      <c r="D556" s="1"/>
      <c r="E556" s="1"/>
      <c r="F556" s="1"/>
      <c r="G556" s="1"/>
      <c r="H556" s="1"/>
      <c r="I556" s="1"/>
      <c r="J556" s="1"/>
      <c r="K556" s="1"/>
      <c r="L556" s="1"/>
      <c r="M556" s="1"/>
      <c r="N556" s="1"/>
    </row>
    <row r="557" spans="2:14" x14ac:dyDescent="0.4">
      <c r="B557" s="1"/>
      <c r="C557" s="1"/>
      <c r="D557" s="1"/>
      <c r="E557" s="1"/>
      <c r="F557" s="1"/>
      <c r="G557" s="1"/>
      <c r="H557" s="1"/>
      <c r="I557" s="1"/>
      <c r="J557" s="1"/>
      <c r="K557" s="1"/>
      <c r="L557" s="1"/>
      <c r="M557" s="1"/>
      <c r="N557" s="1"/>
    </row>
    <row r="558" spans="2:14" x14ac:dyDescent="0.4">
      <c r="B558" s="1"/>
      <c r="C558" s="1"/>
      <c r="D558" s="1"/>
      <c r="E558" s="1"/>
      <c r="F558" s="1"/>
      <c r="G558" s="1"/>
      <c r="H558" s="1"/>
      <c r="I558" s="1"/>
      <c r="J558" s="1"/>
      <c r="K558" s="1"/>
      <c r="L558" s="1"/>
      <c r="M558" s="1"/>
      <c r="N558" s="1"/>
    </row>
    <row r="559" spans="2:14" x14ac:dyDescent="0.4">
      <c r="B559" s="1"/>
      <c r="C559" s="1"/>
      <c r="D559" s="1"/>
      <c r="E559" s="1"/>
      <c r="F559" s="1"/>
      <c r="G559" s="1"/>
      <c r="H559" s="1"/>
      <c r="I559" s="1"/>
      <c r="J559" s="1"/>
      <c r="K559" s="1"/>
      <c r="L559" s="1"/>
      <c r="M559" s="1"/>
      <c r="N559" s="1"/>
    </row>
    <row r="560" spans="2:14" x14ac:dyDescent="0.4">
      <c r="B560" s="1"/>
      <c r="C560" s="1"/>
      <c r="D560" s="1"/>
      <c r="E560" s="1"/>
      <c r="F560" s="1"/>
      <c r="G560" s="1"/>
      <c r="H560" s="1"/>
      <c r="I560" s="1"/>
      <c r="J560" s="1"/>
      <c r="K560" s="1"/>
      <c r="L560" s="1"/>
      <c r="M560" s="1"/>
      <c r="N560" s="1"/>
    </row>
    <row r="561" spans="2:14" x14ac:dyDescent="0.4">
      <c r="B561" s="1"/>
      <c r="C561" s="1"/>
      <c r="D561" s="1"/>
      <c r="E561" s="1"/>
      <c r="F561" s="1"/>
      <c r="G561" s="1"/>
      <c r="H561" s="1"/>
      <c r="I561" s="1"/>
      <c r="J561" s="1"/>
      <c r="K561" s="1"/>
      <c r="L561" s="1"/>
      <c r="M561" s="1"/>
      <c r="N561" s="1"/>
    </row>
    <row r="562" spans="2:14" x14ac:dyDescent="0.4">
      <c r="B562" s="1"/>
      <c r="C562" s="1"/>
      <c r="D562" s="1"/>
      <c r="E562" s="1"/>
      <c r="F562" s="1"/>
      <c r="G562" s="1"/>
      <c r="H562" s="1"/>
      <c r="I562" s="1"/>
      <c r="J562" s="1"/>
      <c r="K562" s="1"/>
      <c r="L562" s="1"/>
      <c r="M562" s="1"/>
      <c r="N562" s="1"/>
    </row>
    <row r="563" spans="2:14" x14ac:dyDescent="0.4">
      <c r="B563" s="1"/>
      <c r="C563" s="1"/>
      <c r="D563" s="1"/>
      <c r="E563" s="1"/>
      <c r="F563" s="1"/>
      <c r="G563" s="1"/>
      <c r="H563" s="1"/>
      <c r="I563" s="1"/>
      <c r="J563" s="1"/>
      <c r="K563" s="1"/>
      <c r="L563" s="1"/>
      <c r="M563" s="1"/>
      <c r="N563" s="1"/>
    </row>
    <row r="564" spans="2:14" x14ac:dyDescent="0.4">
      <c r="B564" s="1"/>
      <c r="C564" s="1"/>
      <c r="D564" s="1"/>
      <c r="E564" s="1"/>
      <c r="F564" s="1"/>
      <c r="G564" s="1"/>
      <c r="H564" s="1"/>
      <c r="I564" s="1"/>
      <c r="J564" s="1"/>
      <c r="K564" s="1"/>
      <c r="L564" s="1"/>
      <c r="M564" s="1"/>
      <c r="N564" s="1"/>
    </row>
    <row r="565" spans="2:14" x14ac:dyDescent="0.4">
      <c r="B565" s="1"/>
      <c r="C565" s="1"/>
      <c r="D565" s="1"/>
      <c r="E565" s="1"/>
      <c r="F565" s="1"/>
      <c r="G565" s="1"/>
      <c r="H565" s="1"/>
      <c r="I565" s="1"/>
      <c r="J565" s="1"/>
      <c r="K565" s="1"/>
      <c r="L565" s="1"/>
      <c r="M565" s="1"/>
      <c r="N565" s="1"/>
    </row>
    <row r="566" spans="2:14" x14ac:dyDescent="0.4">
      <c r="B566" s="1"/>
      <c r="C566" s="1"/>
      <c r="D566" s="1"/>
      <c r="E566" s="1"/>
      <c r="F566" s="1"/>
      <c r="G566" s="1"/>
      <c r="H566" s="1"/>
      <c r="I566" s="1"/>
      <c r="J566" s="1"/>
      <c r="K566" s="1"/>
      <c r="L566" s="1"/>
      <c r="M566" s="1"/>
      <c r="N566" s="1"/>
    </row>
    <row r="567" spans="2:14" x14ac:dyDescent="0.4">
      <c r="B567" s="1"/>
      <c r="C567" s="1"/>
      <c r="D567" s="1"/>
      <c r="E567" s="1"/>
      <c r="F567" s="1"/>
      <c r="G567" s="1"/>
      <c r="H567" s="1"/>
      <c r="I567" s="1"/>
      <c r="J567" s="1"/>
      <c r="K567" s="1"/>
      <c r="L567" s="1"/>
      <c r="M567" s="1"/>
      <c r="N567" s="1"/>
    </row>
    <row r="568" spans="2:14" x14ac:dyDescent="0.4">
      <c r="B568" s="1"/>
      <c r="C568" s="1"/>
      <c r="D568" s="1"/>
      <c r="E568" s="1"/>
      <c r="F568" s="1"/>
      <c r="G568" s="1"/>
      <c r="H568" s="1"/>
      <c r="I568" s="1"/>
      <c r="J568" s="1"/>
      <c r="K568" s="1"/>
      <c r="L568" s="1"/>
      <c r="M568" s="1"/>
      <c r="N568" s="1"/>
    </row>
    <row r="569" spans="2:14" x14ac:dyDescent="0.4">
      <c r="B569" s="1"/>
      <c r="C569" s="1"/>
      <c r="D569" s="1"/>
      <c r="E569" s="1"/>
      <c r="F569" s="1"/>
      <c r="G569" s="1"/>
      <c r="H569" s="1"/>
      <c r="I569" s="1"/>
      <c r="J569" s="1"/>
      <c r="K569" s="1"/>
      <c r="L569" s="1"/>
      <c r="M569" s="1"/>
      <c r="N569" s="1"/>
    </row>
    <row r="570" spans="2:14" x14ac:dyDescent="0.4">
      <c r="B570" s="1"/>
      <c r="C570" s="1"/>
      <c r="D570" s="1"/>
      <c r="E570" s="1"/>
      <c r="F570" s="1"/>
      <c r="G570" s="1"/>
      <c r="H570" s="1"/>
      <c r="I570" s="1"/>
      <c r="J570" s="1"/>
      <c r="K570" s="1"/>
      <c r="L570" s="1"/>
      <c r="M570" s="1"/>
      <c r="N570" s="1"/>
    </row>
    <row r="571" spans="2:14" x14ac:dyDescent="0.4">
      <c r="B571" s="1"/>
      <c r="C571" s="1"/>
      <c r="D571" s="1"/>
      <c r="E571" s="1"/>
      <c r="F571" s="1"/>
      <c r="G571" s="1"/>
      <c r="H571" s="1"/>
      <c r="I571" s="1"/>
      <c r="J571" s="1"/>
      <c r="K571" s="1"/>
      <c r="L571" s="1"/>
      <c r="M571" s="1"/>
      <c r="N571" s="1"/>
    </row>
    <row r="572" spans="2:14" x14ac:dyDescent="0.4">
      <c r="B572" s="1"/>
      <c r="C572" s="1"/>
      <c r="D572" s="1"/>
      <c r="E572" s="1"/>
      <c r="F572" s="1"/>
      <c r="G572" s="1"/>
      <c r="H572" s="1"/>
      <c r="I572" s="1"/>
      <c r="J572" s="1"/>
      <c r="K572" s="1"/>
      <c r="L572" s="1"/>
      <c r="M572" s="1"/>
      <c r="N572" s="1"/>
    </row>
    <row r="573" spans="2:14" x14ac:dyDescent="0.4">
      <c r="B573" s="1"/>
      <c r="C573" s="1"/>
      <c r="D573" s="1"/>
      <c r="E573" s="1"/>
      <c r="F573" s="1"/>
      <c r="G573" s="1"/>
      <c r="H573" s="1"/>
      <c r="I573" s="1"/>
      <c r="J573" s="1"/>
      <c r="K573" s="1"/>
      <c r="L573" s="1"/>
      <c r="M573" s="1"/>
      <c r="N573" s="1"/>
    </row>
    <row r="574" spans="2:14" x14ac:dyDescent="0.4">
      <c r="B574" s="1"/>
      <c r="C574" s="1"/>
      <c r="D574" s="1"/>
      <c r="E574" s="1"/>
      <c r="F574" s="1"/>
      <c r="G574" s="1"/>
      <c r="H574" s="1"/>
      <c r="I574" s="1"/>
      <c r="J574" s="1"/>
      <c r="K574" s="1"/>
      <c r="L574" s="1"/>
      <c r="M574" s="1"/>
      <c r="N574" s="1"/>
    </row>
    <row r="575" spans="2:14" x14ac:dyDescent="0.4">
      <c r="B575" s="1"/>
      <c r="C575" s="1"/>
      <c r="D575" s="1"/>
      <c r="E575" s="1"/>
      <c r="F575" s="1"/>
      <c r="G575" s="1"/>
      <c r="H575" s="1"/>
      <c r="I575" s="1"/>
      <c r="J575" s="1"/>
      <c r="K575" s="1"/>
      <c r="L575" s="1"/>
      <c r="M575" s="1"/>
      <c r="N575" s="1"/>
    </row>
    <row r="576" spans="2:14" x14ac:dyDescent="0.4">
      <c r="B576" s="1"/>
      <c r="C576" s="1"/>
      <c r="D576" s="1"/>
      <c r="E576" s="1"/>
      <c r="F576" s="1"/>
      <c r="G576" s="1"/>
      <c r="H576" s="1"/>
      <c r="I576" s="1"/>
      <c r="J576" s="1"/>
      <c r="K576" s="1"/>
      <c r="L576" s="1"/>
      <c r="M576" s="1"/>
      <c r="N576" s="1"/>
    </row>
    <row r="577" spans="2:14" x14ac:dyDescent="0.4">
      <c r="B577" s="1"/>
      <c r="C577" s="1"/>
      <c r="D577" s="1"/>
      <c r="E577" s="1"/>
      <c r="F577" s="1"/>
      <c r="G577" s="1"/>
      <c r="H577" s="1"/>
      <c r="I577" s="1"/>
      <c r="J577" s="1"/>
      <c r="K577" s="1"/>
      <c r="L577" s="1"/>
      <c r="M577" s="1"/>
      <c r="N577" s="1"/>
    </row>
    <row r="578" spans="2:14" x14ac:dyDescent="0.4">
      <c r="B578" s="1"/>
      <c r="C578" s="1"/>
      <c r="D578" s="1"/>
      <c r="E578" s="1"/>
      <c r="F578" s="1"/>
      <c r="G578" s="1"/>
      <c r="H578" s="1"/>
      <c r="I578" s="1"/>
      <c r="J578" s="1"/>
      <c r="K578" s="1"/>
      <c r="L578" s="1"/>
      <c r="M578" s="1"/>
      <c r="N578" s="1"/>
    </row>
    <row r="579" spans="2:14" x14ac:dyDescent="0.4">
      <c r="B579" s="1"/>
      <c r="C579" s="1"/>
      <c r="D579" s="1"/>
      <c r="E579" s="1"/>
      <c r="F579" s="1"/>
      <c r="G579" s="1"/>
      <c r="H579" s="1"/>
      <c r="I579" s="1"/>
      <c r="J579" s="1"/>
      <c r="K579" s="1"/>
      <c r="L579" s="1"/>
      <c r="M579" s="1"/>
      <c r="N579" s="1"/>
    </row>
    <row r="580" spans="2:14" x14ac:dyDescent="0.4">
      <c r="B580" s="1"/>
      <c r="C580" s="1"/>
      <c r="D580" s="1"/>
      <c r="E580" s="1"/>
      <c r="F580" s="1"/>
      <c r="G580" s="1"/>
      <c r="H580" s="1"/>
      <c r="I580" s="1"/>
      <c r="J580" s="1"/>
      <c r="K580" s="1"/>
      <c r="L580" s="1"/>
      <c r="M580" s="1"/>
      <c r="N580" s="1"/>
    </row>
    <row r="581" spans="2:14" x14ac:dyDescent="0.4">
      <c r="B581" s="1"/>
      <c r="C581" s="1"/>
      <c r="D581" s="1"/>
      <c r="E581" s="1"/>
      <c r="F581" s="1"/>
      <c r="G581" s="1"/>
      <c r="H581" s="1"/>
      <c r="I581" s="1"/>
      <c r="J581" s="1"/>
      <c r="K581" s="1"/>
      <c r="L581" s="1"/>
      <c r="M581" s="1"/>
      <c r="N581" s="1"/>
    </row>
    <row r="582" spans="2:14" x14ac:dyDescent="0.4">
      <c r="B582" s="1"/>
      <c r="C582" s="1"/>
      <c r="D582" s="1"/>
      <c r="E582" s="1"/>
      <c r="F582" s="1"/>
      <c r="G582" s="1"/>
      <c r="H582" s="1"/>
      <c r="I582" s="1"/>
      <c r="J582" s="1"/>
      <c r="K582" s="1"/>
      <c r="L582" s="1"/>
      <c r="M582" s="1"/>
      <c r="N582" s="1"/>
    </row>
    <row r="583" spans="2:14" x14ac:dyDescent="0.4">
      <c r="B583" s="1"/>
      <c r="C583" s="1"/>
      <c r="D583" s="1"/>
      <c r="E583" s="1"/>
      <c r="F583" s="1"/>
      <c r="G583" s="1"/>
      <c r="H583" s="1"/>
      <c r="I583" s="1"/>
      <c r="J583" s="1"/>
      <c r="K583" s="1"/>
      <c r="L583" s="1"/>
      <c r="M583" s="1"/>
      <c r="N583" s="1"/>
    </row>
    <row r="584" spans="2:14" x14ac:dyDescent="0.4">
      <c r="B584" s="1"/>
      <c r="C584" s="1"/>
      <c r="D584" s="1"/>
      <c r="E584" s="1"/>
      <c r="F584" s="1"/>
      <c r="G584" s="1"/>
      <c r="H584" s="1"/>
      <c r="I584" s="1"/>
      <c r="J584" s="1"/>
      <c r="K584" s="1"/>
      <c r="L584" s="1"/>
      <c r="M584" s="1"/>
      <c r="N584" s="1"/>
    </row>
    <row r="585" spans="2:14" x14ac:dyDescent="0.4">
      <c r="B585" s="1"/>
      <c r="C585" s="1"/>
      <c r="D585" s="1"/>
      <c r="E585" s="1"/>
      <c r="F585" s="1"/>
      <c r="G585" s="1"/>
      <c r="H585" s="1"/>
      <c r="I585" s="1"/>
      <c r="J585" s="1"/>
      <c r="K585" s="1"/>
      <c r="L585" s="1"/>
      <c r="M585" s="1"/>
      <c r="N585" s="1"/>
    </row>
    <row r="586" spans="2:14" x14ac:dyDescent="0.4">
      <c r="B586" s="1"/>
      <c r="C586" s="1"/>
      <c r="D586" s="1"/>
      <c r="E586" s="1"/>
      <c r="F586" s="1"/>
      <c r="G586" s="1"/>
      <c r="H586" s="1"/>
      <c r="I586" s="1"/>
      <c r="J586" s="1"/>
      <c r="K586" s="1"/>
      <c r="L586" s="1"/>
      <c r="M586" s="1"/>
      <c r="N586" s="1"/>
    </row>
    <row r="587" spans="2:14" x14ac:dyDescent="0.4">
      <c r="B587" s="1"/>
      <c r="C587" s="1"/>
      <c r="D587" s="1"/>
      <c r="E587" s="1"/>
      <c r="F587" s="1"/>
      <c r="G587" s="1"/>
      <c r="H587" s="1"/>
      <c r="I587" s="1"/>
      <c r="J587" s="1"/>
      <c r="K587" s="1"/>
      <c r="L587" s="1"/>
      <c r="M587" s="1"/>
      <c r="N587" s="1"/>
    </row>
    <row r="588" spans="2:14" x14ac:dyDescent="0.4">
      <c r="B588" s="1"/>
      <c r="C588" s="1"/>
      <c r="D588" s="1"/>
      <c r="E588" s="1"/>
      <c r="F588" s="1"/>
      <c r="G588" s="1"/>
      <c r="H588" s="1"/>
      <c r="I588" s="1"/>
      <c r="J588" s="1"/>
      <c r="K588" s="1"/>
      <c r="L588" s="1"/>
      <c r="M588" s="1"/>
      <c r="N588" s="1"/>
    </row>
    <row r="589" spans="2:14" x14ac:dyDescent="0.4">
      <c r="B589" s="1"/>
      <c r="C589" s="1"/>
      <c r="D589" s="1"/>
      <c r="E589" s="1"/>
      <c r="F589" s="1"/>
      <c r="G589" s="1"/>
      <c r="H589" s="1"/>
      <c r="I589" s="1"/>
      <c r="J589" s="1"/>
      <c r="K589" s="1"/>
      <c r="L589" s="1"/>
      <c r="M589" s="1"/>
      <c r="N589" s="1"/>
    </row>
    <row r="590" spans="2:14" x14ac:dyDescent="0.4">
      <c r="B590" s="1"/>
      <c r="C590" s="1"/>
      <c r="D590" s="1"/>
      <c r="E590" s="1"/>
      <c r="F590" s="1"/>
      <c r="G590" s="1"/>
      <c r="H590" s="1"/>
      <c r="I590" s="1"/>
      <c r="J590" s="1"/>
      <c r="K590" s="1"/>
      <c r="L590" s="1"/>
      <c r="M590" s="1"/>
      <c r="N590" s="1"/>
    </row>
    <row r="591" spans="2:14" x14ac:dyDescent="0.4">
      <c r="B591" s="1"/>
      <c r="C591" s="1"/>
      <c r="D591" s="1"/>
      <c r="E591" s="1"/>
      <c r="F591" s="1"/>
      <c r="G591" s="1"/>
      <c r="H591" s="1"/>
      <c r="I591" s="1"/>
      <c r="J591" s="1"/>
      <c r="K591" s="1"/>
      <c r="L591" s="1"/>
      <c r="M591" s="1"/>
      <c r="N591" s="1"/>
    </row>
    <row r="592" spans="2:14" x14ac:dyDescent="0.4">
      <c r="B592" s="1"/>
      <c r="C592" s="1"/>
      <c r="D592" s="1"/>
      <c r="E592" s="1"/>
      <c r="F592" s="1"/>
      <c r="G592" s="1"/>
      <c r="H592" s="1"/>
      <c r="I592" s="1"/>
      <c r="J592" s="1"/>
      <c r="K592" s="1"/>
      <c r="L592" s="1"/>
      <c r="M592" s="1"/>
      <c r="N592" s="1"/>
    </row>
    <row r="593" spans="2:14" x14ac:dyDescent="0.4">
      <c r="B593" s="1"/>
      <c r="C593" s="1"/>
      <c r="D593" s="1"/>
      <c r="E593" s="1"/>
      <c r="F593" s="1"/>
      <c r="G593" s="1"/>
      <c r="H593" s="1"/>
      <c r="I593" s="1"/>
      <c r="J593" s="1"/>
      <c r="K593" s="1"/>
      <c r="L593" s="1"/>
      <c r="M593" s="1"/>
      <c r="N593" s="1"/>
    </row>
    <row r="594" spans="2:14" x14ac:dyDescent="0.4">
      <c r="B594" s="1"/>
      <c r="C594" s="1"/>
      <c r="D594" s="1"/>
      <c r="E594" s="1"/>
      <c r="F594" s="1"/>
      <c r="G594" s="1"/>
      <c r="H594" s="1"/>
      <c r="I594" s="1"/>
      <c r="J594" s="1"/>
      <c r="K594" s="1"/>
      <c r="L594" s="1"/>
      <c r="M594" s="1"/>
      <c r="N594" s="1"/>
    </row>
    <row r="595" spans="2:14" x14ac:dyDescent="0.4">
      <c r="B595" s="1"/>
      <c r="C595" s="1"/>
      <c r="D595" s="1"/>
      <c r="E595" s="1"/>
      <c r="F595" s="1"/>
      <c r="G595" s="1"/>
      <c r="H595" s="1"/>
      <c r="I595" s="1"/>
      <c r="J595" s="1"/>
      <c r="K595" s="1"/>
      <c r="L595" s="1"/>
      <c r="M595" s="1"/>
      <c r="N595" s="1"/>
    </row>
    <row r="596" spans="2:14" x14ac:dyDescent="0.4">
      <c r="B596" s="1"/>
      <c r="C596" s="1"/>
      <c r="D596" s="1"/>
      <c r="E596" s="1"/>
      <c r="F596" s="1"/>
      <c r="G596" s="1"/>
      <c r="H596" s="1"/>
      <c r="I596" s="1"/>
      <c r="J596" s="1"/>
      <c r="K596" s="1"/>
      <c r="L596" s="1"/>
      <c r="M596" s="1"/>
      <c r="N596" s="1"/>
    </row>
    <row r="597" spans="2:14" x14ac:dyDescent="0.4">
      <c r="B597" s="1"/>
      <c r="C597" s="1"/>
      <c r="D597" s="1"/>
      <c r="E597" s="1"/>
      <c r="F597" s="1"/>
      <c r="G597" s="1"/>
      <c r="H597" s="1"/>
      <c r="I597" s="1"/>
      <c r="J597" s="1"/>
      <c r="K597" s="1"/>
      <c r="L597" s="1"/>
      <c r="M597" s="1"/>
      <c r="N597" s="1"/>
    </row>
    <row r="598" spans="2:14" x14ac:dyDescent="0.4">
      <c r="B598" s="1"/>
      <c r="C598" s="1"/>
      <c r="D598" s="1"/>
      <c r="E598" s="1"/>
      <c r="F598" s="1"/>
      <c r="G598" s="1"/>
      <c r="H598" s="1"/>
      <c r="I598" s="1"/>
      <c r="J598" s="1"/>
      <c r="K598" s="1"/>
      <c r="L598" s="1"/>
      <c r="M598" s="1"/>
      <c r="N598" s="1"/>
    </row>
    <row r="599" spans="2:14" x14ac:dyDescent="0.4">
      <c r="B599" s="1"/>
      <c r="C599" s="1"/>
      <c r="D599" s="1"/>
      <c r="E599" s="1"/>
      <c r="F599" s="1"/>
      <c r="G599" s="1"/>
      <c r="H599" s="1"/>
      <c r="I599" s="1"/>
      <c r="J599" s="1"/>
      <c r="K599" s="1"/>
      <c r="L599" s="1"/>
      <c r="M599" s="1"/>
      <c r="N599" s="1"/>
    </row>
    <row r="600" spans="2:14" x14ac:dyDescent="0.4">
      <c r="B600" s="1"/>
      <c r="C600" s="1"/>
      <c r="D600" s="1"/>
      <c r="E600" s="1"/>
      <c r="F600" s="1"/>
      <c r="G600" s="1"/>
      <c r="H600" s="1"/>
      <c r="I600" s="1"/>
      <c r="J600" s="1"/>
      <c r="K600" s="1"/>
      <c r="L600" s="1"/>
      <c r="M600" s="1"/>
      <c r="N600" s="1"/>
    </row>
    <row r="601" spans="2:14" x14ac:dyDescent="0.4">
      <c r="B601" s="1"/>
      <c r="C601" s="1"/>
      <c r="D601" s="1"/>
      <c r="E601" s="1"/>
      <c r="F601" s="1"/>
      <c r="G601" s="1"/>
      <c r="H601" s="1"/>
      <c r="I601" s="1"/>
      <c r="J601" s="1"/>
      <c r="K601" s="1"/>
      <c r="L601" s="1"/>
      <c r="M601" s="1"/>
      <c r="N601" s="1"/>
    </row>
    <row r="602" spans="2:14" x14ac:dyDescent="0.4">
      <c r="B602" s="1"/>
      <c r="C602" s="1"/>
      <c r="D602" s="1"/>
      <c r="E602" s="1"/>
      <c r="F602" s="1"/>
      <c r="G602" s="1"/>
      <c r="H602" s="1"/>
      <c r="I602" s="1"/>
      <c r="J602" s="1"/>
      <c r="K602" s="1"/>
      <c r="L602" s="1"/>
      <c r="M602" s="1"/>
      <c r="N602" s="1"/>
    </row>
    <row r="603" spans="2:14" x14ac:dyDescent="0.4">
      <c r="B603" s="1"/>
      <c r="C603" s="1"/>
      <c r="D603" s="1"/>
      <c r="E603" s="1"/>
      <c r="F603" s="1"/>
      <c r="G603" s="1"/>
      <c r="H603" s="1"/>
      <c r="I603" s="1"/>
      <c r="J603" s="1"/>
      <c r="K603" s="1"/>
      <c r="L603" s="1"/>
      <c r="M603" s="1"/>
      <c r="N603" s="1"/>
    </row>
    <row r="604" spans="2:14" x14ac:dyDescent="0.4">
      <c r="B604" s="1"/>
      <c r="C604" s="1"/>
      <c r="D604" s="1"/>
      <c r="E604" s="1"/>
      <c r="F604" s="1"/>
      <c r="G604" s="1"/>
      <c r="H604" s="1"/>
      <c r="I604" s="1"/>
      <c r="J604" s="1"/>
      <c r="K604" s="1"/>
      <c r="L604" s="1"/>
      <c r="M604" s="1"/>
      <c r="N604" s="1"/>
    </row>
    <row r="605" spans="2:14" x14ac:dyDescent="0.4">
      <c r="B605" s="1"/>
      <c r="C605" s="1"/>
      <c r="D605" s="1"/>
      <c r="E605" s="1"/>
      <c r="F605" s="1"/>
      <c r="G605" s="1"/>
      <c r="H605" s="1"/>
      <c r="I605" s="1"/>
      <c r="J605" s="1"/>
      <c r="K605" s="1"/>
      <c r="L605" s="1"/>
      <c r="M605" s="1"/>
      <c r="N605" s="1"/>
    </row>
    <row r="606" spans="2:14" x14ac:dyDescent="0.4">
      <c r="C606" s="1"/>
      <c r="D606" s="1"/>
      <c r="E606" s="1"/>
      <c r="F606" s="1"/>
      <c r="G606" s="1"/>
      <c r="H606" s="1"/>
      <c r="I606" s="1"/>
      <c r="J606" s="1"/>
      <c r="K606" s="1"/>
    </row>
    <row r="607" spans="2:14" x14ac:dyDescent="0.4">
      <c r="C607" s="1"/>
      <c r="D607" s="1"/>
      <c r="E607" s="1"/>
      <c r="F607" s="1"/>
      <c r="G607" s="1"/>
      <c r="H607" s="1"/>
      <c r="I607" s="1"/>
      <c r="J607" s="1"/>
      <c r="K607" s="1"/>
    </row>
    <row r="608" spans="2:14" x14ac:dyDescent="0.4">
      <c r="C608" s="1"/>
      <c r="D608" s="1"/>
      <c r="E608" s="1"/>
      <c r="F608" s="1"/>
      <c r="G608" s="1"/>
      <c r="H608" s="1"/>
      <c r="I608" s="1"/>
      <c r="J608" s="1"/>
      <c r="K608" s="1"/>
    </row>
    <row r="609" spans="3:11" x14ac:dyDescent="0.4">
      <c r="C609" s="1"/>
      <c r="D609" s="1"/>
      <c r="E609" s="1"/>
      <c r="F609" s="1"/>
      <c r="G609" s="1"/>
      <c r="H609" s="1"/>
      <c r="I609" s="1"/>
      <c r="J609" s="1"/>
      <c r="K609" s="1"/>
    </row>
    <row r="610" spans="3:11" x14ac:dyDescent="0.4">
      <c r="C610" s="1"/>
      <c r="D610" s="1"/>
      <c r="E610" s="1"/>
      <c r="F610" s="1"/>
      <c r="G610" s="1"/>
      <c r="H610" s="1"/>
      <c r="I610" s="1"/>
      <c r="J610" s="1"/>
      <c r="K610" s="1"/>
    </row>
    <row r="611" spans="3:11" x14ac:dyDescent="0.4">
      <c r="C611" s="1"/>
      <c r="D611" s="1"/>
      <c r="E611" s="1"/>
      <c r="F611" s="1"/>
      <c r="G611" s="1"/>
      <c r="H611" s="1"/>
      <c r="I611" s="1"/>
      <c r="J611" s="1"/>
      <c r="K611" s="1"/>
    </row>
    <row r="612" spans="3:11" x14ac:dyDescent="0.4">
      <c r="C612" s="1"/>
      <c r="D612" s="1"/>
      <c r="E612" s="1"/>
      <c r="F612" s="1"/>
      <c r="G612" s="1"/>
      <c r="H612" s="1"/>
      <c r="I612" s="1"/>
      <c r="J612" s="1"/>
      <c r="K612" s="1"/>
    </row>
    <row r="613" spans="3:11" x14ac:dyDescent="0.4">
      <c r="C613" s="1"/>
      <c r="D613" s="1"/>
      <c r="E613" s="1"/>
      <c r="F613" s="1"/>
      <c r="G613" s="1"/>
      <c r="H613" s="1"/>
      <c r="I613" s="1"/>
      <c r="J613" s="1"/>
      <c r="K613" s="1"/>
    </row>
    <row r="614" spans="3:11" x14ac:dyDescent="0.4">
      <c r="C614" s="1"/>
      <c r="D614" s="1"/>
      <c r="E614" s="1"/>
      <c r="F614" s="1"/>
      <c r="G614" s="1"/>
      <c r="H614" s="1"/>
      <c r="I614" s="1"/>
      <c r="J614" s="1"/>
      <c r="K614" s="1"/>
    </row>
    <row r="615" spans="3:11" x14ac:dyDescent="0.4">
      <c r="C615" s="1"/>
      <c r="D615" s="1"/>
      <c r="E615" s="1"/>
      <c r="F615" s="1"/>
      <c r="G615" s="1"/>
      <c r="H615" s="1"/>
      <c r="I615" s="1"/>
      <c r="J615" s="1"/>
      <c r="K615" s="1"/>
    </row>
    <row r="616" spans="3:11" x14ac:dyDescent="0.4">
      <c r="C616" s="1"/>
      <c r="D616" s="1"/>
      <c r="E616" s="1"/>
      <c r="F616" s="1"/>
      <c r="G616" s="1"/>
      <c r="H616" s="1"/>
      <c r="I616" s="1"/>
      <c r="J616" s="1"/>
      <c r="K616" s="1"/>
    </row>
    <row r="617" spans="3:11" x14ac:dyDescent="0.4">
      <c r="C617" s="1"/>
      <c r="D617" s="1"/>
      <c r="E617" s="1"/>
      <c r="F617" s="1"/>
      <c r="G617" s="1"/>
      <c r="H617" s="1"/>
      <c r="I617" s="1"/>
      <c r="J617" s="1"/>
      <c r="K617" s="1"/>
    </row>
    <row r="618" spans="3:11" x14ac:dyDescent="0.4">
      <c r="C618" s="1"/>
      <c r="D618" s="1"/>
      <c r="E618" s="1"/>
      <c r="F618" s="1"/>
      <c r="G618" s="1"/>
      <c r="H618" s="1"/>
      <c r="I618" s="1"/>
      <c r="J618" s="1"/>
      <c r="K618" s="1"/>
    </row>
    <row r="619" spans="3:11" x14ac:dyDescent="0.4">
      <c r="C619" s="1"/>
      <c r="D619" s="1"/>
      <c r="E619" s="1"/>
      <c r="F619" s="1"/>
      <c r="G619" s="1"/>
      <c r="H619" s="1"/>
      <c r="I619" s="1"/>
      <c r="J619" s="1"/>
      <c r="K619" s="1"/>
    </row>
    <row r="620" spans="3:11" x14ac:dyDescent="0.4">
      <c r="C620" s="1"/>
      <c r="D620" s="1"/>
      <c r="E620" s="1"/>
      <c r="F620" s="1"/>
      <c r="G620" s="1"/>
      <c r="H620" s="1"/>
      <c r="I620" s="1"/>
      <c r="J620" s="1"/>
      <c r="K620" s="1"/>
    </row>
    <row r="621" spans="3:11" x14ac:dyDescent="0.4">
      <c r="C621" s="1"/>
      <c r="D621" s="1"/>
      <c r="E621" s="1"/>
      <c r="F621" s="1"/>
      <c r="G621" s="1"/>
      <c r="H621" s="1"/>
      <c r="I621" s="1"/>
      <c r="J621" s="1"/>
      <c r="K621" s="1"/>
    </row>
    <row r="622" spans="3:11" x14ac:dyDescent="0.4">
      <c r="C622" s="1"/>
      <c r="D622" s="1"/>
      <c r="E622" s="1"/>
      <c r="F622" s="1"/>
      <c r="G622" s="1"/>
      <c r="H622" s="1"/>
      <c r="I622" s="1"/>
      <c r="J622" s="1"/>
      <c r="K622" s="1"/>
    </row>
    <row r="623" spans="3:11" x14ac:dyDescent="0.4">
      <c r="C623" s="1"/>
      <c r="D623" s="1"/>
      <c r="E623" s="1"/>
      <c r="F623" s="1"/>
      <c r="G623" s="1"/>
      <c r="H623" s="1"/>
      <c r="I623" s="1"/>
      <c r="J623" s="1"/>
      <c r="K623" s="1"/>
    </row>
    <row r="624" spans="3:11" x14ac:dyDescent="0.4">
      <c r="C624" s="1"/>
      <c r="D624" s="1"/>
      <c r="E624" s="1"/>
      <c r="F624" s="1"/>
      <c r="G624" s="1"/>
      <c r="H624" s="1"/>
      <c r="I624" s="1"/>
      <c r="J624" s="1"/>
      <c r="K624" s="1"/>
    </row>
    <row r="625" spans="3:11" x14ac:dyDescent="0.4">
      <c r="C625" s="1"/>
      <c r="D625" s="1"/>
      <c r="E625" s="1"/>
      <c r="F625" s="1"/>
      <c r="G625" s="1"/>
      <c r="H625" s="1"/>
      <c r="I625" s="1"/>
      <c r="J625" s="1"/>
      <c r="K625" s="1"/>
    </row>
    <row r="626" spans="3:11" x14ac:dyDescent="0.4">
      <c r="C626" s="1"/>
      <c r="D626" s="1"/>
      <c r="E626" s="1"/>
      <c r="F626" s="1"/>
      <c r="G626" s="1"/>
      <c r="H626" s="1"/>
      <c r="I626" s="1"/>
      <c r="J626" s="1"/>
      <c r="K626" s="1"/>
    </row>
    <row r="627" spans="3:11" x14ac:dyDescent="0.4">
      <c r="C627" s="1"/>
      <c r="D627" s="1"/>
      <c r="E627" s="1"/>
      <c r="F627" s="1"/>
      <c r="G627" s="1"/>
      <c r="H627" s="1"/>
      <c r="I627" s="1"/>
      <c r="J627" s="1"/>
      <c r="K627" s="1"/>
    </row>
    <row r="628" spans="3:11" x14ac:dyDescent="0.4">
      <c r="C628" s="1"/>
      <c r="D628" s="1"/>
      <c r="E628" s="1"/>
      <c r="F628" s="1"/>
      <c r="G628" s="1"/>
      <c r="H628" s="1"/>
      <c r="I628" s="1"/>
      <c r="J628" s="1"/>
      <c r="K628" s="1"/>
    </row>
    <row r="629" spans="3:11" x14ac:dyDescent="0.4">
      <c r="C629" s="1"/>
      <c r="D629" s="1"/>
      <c r="E629" s="1"/>
      <c r="F629" s="1"/>
      <c r="G629" s="1"/>
      <c r="H629" s="1"/>
      <c r="I629" s="1"/>
      <c r="J629" s="1"/>
      <c r="K629" s="1"/>
    </row>
    <row r="630" spans="3:11" x14ac:dyDescent="0.4">
      <c r="C630" s="1"/>
      <c r="D630" s="1"/>
      <c r="E630" s="1"/>
      <c r="F630" s="1"/>
      <c r="G630" s="1"/>
      <c r="H630" s="1"/>
      <c r="I630" s="1"/>
      <c r="J630" s="1"/>
      <c r="K630" s="1"/>
    </row>
    <row r="631" spans="3:11" x14ac:dyDescent="0.4">
      <c r="C631" s="1"/>
      <c r="D631" s="1"/>
      <c r="E631" s="1"/>
      <c r="F631" s="1"/>
      <c r="G631" s="1"/>
      <c r="H631" s="1"/>
      <c r="I631" s="1"/>
      <c r="J631" s="1"/>
      <c r="K631" s="1"/>
    </row>
    <row r="632" spans="3:11" x14ac:dyDescent="0.4">
      <c r="C632" s="1"/>
      <c r="D632" s="1"/>
      <c r="E632" s="1"/>
      <c r="F632" s="1"/>
      <c r="G632" s="1"/>
      <c r="H632" s="1"/>
      <c r="I632" s="1"/>
      <c r="J632" s="1"/>
      <c r="K632" s="1"/>
    </row>
    <row r="633" spans="3:11" x14ac:dyDescent="0.4">
      <c r="C633" s="1"/>
      <c r="D633" s="1"/>
      <c r="E633" s="1"/>
      <c r="F633" s="1"/>
      <c r="G633" s="1"/>
      <c r="H633" s="1"/>
      <c r="I633" s="1"/>
      <c r="J633" s="1"/>
      <c r="K633" s="1"/>
    </row>
    <row r="634" spans="3:11" x14ac:dyDescent="0.4">
      <c r="C634" s="1"/>
      <c r="D634" s="1"/>
      <c r="E634" s="1"/>
      <c r="F634" s="1"/>
      <c r="G634" s="1"/>
      <c r="H634" s="1"/>
      <c r="I634" s="1"/>
      <c r="J634" s="1"/>
      <c r="K634" s="1"/>
    </row>
    <row r="635" spans="3:11" x14ac:dyDescent="0.4">
      <c r="C635" s="1"/>
      <c r="D635" s="1"/>
      <c r="E635" s="1"/>
      <c r="F635" s="1"/>
      <c r="G635" s="1"/>
      <c r="H635" s="1"/>
      <c r="I635" s="1"/>
      <c r="J635" s="1"/>
      <c r="K635" s="1"/>
    </row>
    <row r="636" spans="3:11" x14ac:dyDescent="0.4">
      <c r="C636" s="1"/>
      <c r="D636" s="1"/>
      <c r="E636" s="1"/>
      <c r="F636" s="1"/>
      <c r="G636" s="1"/>
      <c r="H636" s="1"/>
      <c r="I636" s="1"/>
      <c r="J636" s="1"/>
      <c r="K636" s="1"/>
    </row>
    <row r="637" spans="3:11" x14ac:dyDescent="0.4">
      <c r="C637" s="1"/>
      <c r="D637" s="1"/>
      <c r="E637" s="1"/>
      <c r="F637" s="1"/>
      <c r="G637" s="1"/>
      <c r="H637" s="1"/>
      <c r="I637" s="1"/>
      <c r="J637" s="1"/>
      <c r="K637" s="1"/>
    </row>
    <row r="638" spans="3:11" x14ac:dyDescent="0.4">
      <c r="C638" s="1"/>
      <c r="D638" s="1"/>
      <c r="E638" s="1"/>
      <c r="F638" s="1"/>
      <c r="G638" s="1"/>
      <c r="H638" s="1"/>
      <c r="I638" s="1"/>
      <c r="J638" s="1"/>
      <c r="K638" s="1"/>
    </row>
    <row r="639" spans="3:11" x14ac:dyDescent="0.4">
      <c r="C639" s="1"/>
      <c r="D639" s="1"/>
      <c r="E639" s="1"/>
      <c r="F639" s="1"/>
      <c r="G639" s="1"/>
      <c r="H639" s="1"/>
      <c r="I639" s="1"/>
      <c r="J639" s="1"/>
      <c r="K639" s="1"/>
    </row>
    <row r="640" spans="3:11" x14ac:dyDescent="0.4">
      <c r="C640" s="1"/>
      <c r="D640" s="1"/>
      <c r="E640" s="1"/>
      <c r="F640" s="1"/>
      <c r="G640" s="1"/>
      <c r="H640" s="1"/>
      <c r="I640" s="1"/>
      <c r="J640" s="1"/>
      <c r="K640" s="1"/>
    </row>
    <row r="641" spans="3:11" x14ac:dyDescent="0.4">
      <c r="C641" s="1"/>
      <c r="D641" s="1"/>
      <c r="E641" s="1"/>
      <c r="F641" s="1"/>
      <c r="G641" s="1"/>
      <c r="H641" s="1"/>
      <c r="I641" s="1"/>
      <c r="J641" s="1"/>
      <c r="K641" s="1"/>
    </row>
    <row r="642" spans="3:11" x14ac:dyDescent="0.4">
      <c r="C642" s="1"/>
      <c r="D642" s="1"/>
      <c r="E642" s="1"/>
      <c r="F642" s="1"/>
      <c r="G642" s="1"/>
      <c r="H642" s="1"/>
      <c r="I642" s="1"/>
      <c r="J642" s="1"/>
      <c r="K642" s="1"/>
    </row>
    <row r="643" spans="3:11" x14ac:dyDescent="0.4">
      <c r="C643" s="1"/>
      <c r="D643" s="1"/>
      <c r="E643" s="1"/>
      <c r="F643" s="1"/>
      <c r="G643" s="1"/>
      <c r="H643" s="1"/>
      <c r="I643" s="1"/>
      <c r="J643" s="1"/>
      <c r="K643" s="1"/>
    </row>
    <row r="644" spans="3:11" x14ac:dyDescent="0.4">
      <c r="C644" s="1"/>
      <c r="D644" s="1"/>
      <c r="E644" s="1"/>
      <c r="F644" s="1"/>
      <c r="G644" s="1"/>
      <c r="H644" s="1"/>
      <c r="I644" s="1"/>
      <c r="J644" s="1"/>
      <c r="K644" s="1"/>
    </row>
    <row r="645" spans="3:11" x14ac:dyDescent="0.4">
      <c r="C645" s="1"/>
      <c r="D645" s="1"/>
      <c r="E645" s="1"/>
      <c r="F645" s="1"/>
      <c r="G645" s="1"/>
      <c r="H645" s="1"/>
      <c r="I645" s="1"/>
      <c r="J645" s="1"/>
      <c r="K645" s="1"/>
    </row>
    <row r="646" spans="3:11" x14ac:dyDescent="0.4">
      <c r="C646" s="1"/>
      <c r="D646" s="1"/>
      <c r="E646" s="1"/>
      <c r="F646" s="1"/>
      <c r="G646" s="1"/>
      <c r="H646" s="1"/>
      <c r="I646" s="1"/>
      <c r="J646" s="1"/>
      <c r="K646" s="1"/>
    </row>
    <row r="647" spans="3:11" x14ac:dyDescent="0.4">
      <c r="C647" s="1"/>
      <c r="D647" s="1"/>
      <c r="E647" s="1"/>
      <c r="F647" s="1"/>
      <c r="G647" s="1"/>
      <c r="H647" s="1"/>
      <c r="I647" s="1"/>
      <c r="J647" s="1"/>
      <c r="K647" s="1"/>
    </row>
    <row r="648" spans="3:11" x14ac:dyDescent="0.4">
      <c r="C648" s="1"/>
      <c r="D648" s="1"/>
      <c r="E648" s="1"/>
      <c r="F648" s="1"/>
      <c r="G648" s="1"/>
      <c r="H648" s="1"/>
      <c r="I648" s="1"/>
      <c r="J648" s="1"/>
      <c r="K648" s="1"/>
    </row>
    <row r="649" spans="3:11" x14ac:dyDescent="0.4">
      <c r="C649" s="1"/>
      <c r="D649" s="1"/>
      <c r="E649" s="1"/>
      <c r="F649" s="1"/>
      <c r="G649" s="1"/>
      <c r="H649" s="1"/>
      <c r="I649" s="1"/>
      <c r="J649" s="1"/>
      <c r="K649" s="1"/>
    </row>
    <row r="650" spans="3:11" x14ac:dyDescent="0.4">
      <c r="C650" s="1"/>
      <c r="D650" s="1"/>
      <c r="E650" s="1"/>
      <c r="F650" s="1"/>
      <c r="G650" s="1"/>
      <c r="H650" s="1"/>
      <c r="I650" s="1"/>
      <c r="J650" s="1"/>
      <c r="K650" s="1"/>
    </row>
    <row r="651" spans="3:11" x14ac:dyDescent="0.4">
      <c r="C651" s="1"/>
      <c r="D651" s="1"/>
      <c r="E651" s="1"/>
      <c r="F651" s="1"/>
      <c r="G651" s="1"/>
      <c r="H651" s="1"/>
      <c r="I651" s="1"/>
      <c r="J651" s="1"/>
      <c r="K651" s="1"/>
    </row>
    <row r="652" spans="3:11" x14ac:dyDescent="0.4">
      <c r="C652" s="1"/>
      <c r="D652" s="1"/>
      <c r="E652" s="1"/>
      <c r="F652" s="1"/>
      <c r="G652" s="1"/>
      <c r="H652" s="1"/>
      <c r="I652" s="1"/>
      <c r="J652" s="1"/>
      <c r="K652" s="1"/>
    </row>
    <row r="653" spans="3:11" x14ac:dyDescent="0.4">
      <c r="C653" s="1"/>
      <c r="D653" s="1"/>
      <c r="E653" s="1"/>
      <c r="F653" s="1"/>
      <c r="G653" s="1"/>
      <c r="H653" s="1"/>
      <c r="I653" s="1"/>
      <c r="J653" s="1"/>
      <c r="K653" s="1"/>
    </row>
    <row r="654" spans="3:11" x14ac:dyDescent="0.4">
      <c r="C654" s="1"/>
      <c r="D654" s="1"/>
      <c r="E654" s="1"/>
      <c r="F654" s="1"/>
      <c r="G654" s="1"/>
      <c r="H654" s="1"/>
      <c r="I654" s="1"/>
      <c r="J654" s="1"/>
      <c r="K654" s="1"/>
    </row>
    <row r="655" spans="3:11" x14ac:dyDescent="0.4">
      <c r="C655" s="1"/>
      <c r="D655" s="1"/>
      <c r="E655" s="1"/>
      <c r="F655" s="1"/>
      <c r="G655" s="1"/>
      <c r="H655" s="1"/>
      <c r="I655" s="1"/>
      <c r="J655" s="1"/>
      <c r="K655" s="1"/>
    </row>
    <row r="656" spans="3:11" x14ac:dyDescent="0.4">
      <c r="C656" s="1"/>
      <c r="D656" s="1"/>
      <c r="E656" s="1"/>
      <c r="F656" s="1"/>
      <c r="G656" s="1"/>
      <c r="H656" s="1"/>
      <c r="I656" s="1"/>
      <c r="J656" s="1"/>
      <c r="K656" s="1"/>
    </row>
    <row r="657" spans="3:11" x14ac:dyDescent="0.4">
      <c r="C657" s="1"/>
      <c r="D657" s="1"/>
      <c r="E657" s="1"/>
      <c r="F657" s="1"/>
      <c r="G657" s="1"/>
      <c r="H657" s="1"/>
      <c r="I657" s="1"/>
      <c r="J657" s="1"/>
      <c r="K657" s="1"/>
    </row>
    <row r="658" spans="3:11" x14ac:dyDescent="0.4">
      <c r="C658" s="1"/>
      <c r="D658" s="1"/>
      <c r="E658" s="1"/>
      <c r="F658" s="1"/>
      <c r="G658" s="1"/>
      <c r="H658" s="1"/>
      <c r="I658" s="1"/>
      <c r="J658" s="1"/>
      <c r="K658" s="1"/>
    </row>
    <row r="659" spans="3:11" x14ac:dyDescent="0.4">
      <c r="C659" s="1"/>
      <c r="D659" s="1"/>
      <c r="E659" s="1"/>
      <c r="F659" s="1"/>
      <c r="G659" s="1"/>
      <c r="H659" s="1"/>
      <c r="I659" s="1"/>
      <c r="J659" s="1"/>
      <c r="K659" s="1"/>
    </row>
    <row r="660" spans="3:11" x14ac:dyDescent="0.4">
      <c r="C660" s="1"/>
      <c r="D660" s="1"/>
      <c r="E660" s="1"/>
      <c r="F660" s="1"/>
      <c r="G660" s="1"/>
      <c r="H660" s="1"/>
      <c r="I660" s="1"/>
      <c r="J660" s="1"/>
      <c r="K660" s="1"/>
    </row>
    <row r="661" spans="3:11" x14ac:dyDescent="0.4">
      <c r="C661" s="1"/>
      <c r="D661" s="1"/>
      <c r="E661" s="1"/>
      <c r="F661" s="1"/>
      <c r="G661" s="1"/>
      <c r="H661" s="1"/>
      <c r="I661" s="1"/>
      <c r="J661" s="1"/>
      <c r="K661" s="1"/>
    </row>
    <row r="662" spans="3:11" x14ac:dyDescent="0.4">
      <c r="C662" s="1"/>
      <c r="D662" s="1"/>
      <c r="E662" s="1"/>
      <c r="F662" s="1"/>
      <c r="G662" s="1"/>
      <c r="H662" s="1"/>
      <c r="I662" s="1"/>
      <c r="J662" s="1"/>
      <c r="K662" s="1"/>
    </row>
    <row r="663" spans="3:11" x14ac:dyDescent="0.4">
      <c r="C663" s="1"/>
      <c r="D663" s="1"/>
      <c r="E663" s="1"/>
      <c r="F663" s="1"/>
      <c r="G663" s="1"/>
      <c r="H663" s="1"/>
      <c r="I663" s="1"/>
      <c r="J663" s="1"/>
      <c r="K663" s="1"/>
    </row>
    <row r="664" spans="3:11" x14ac:dyDescent="0.4">
      <c r="C664" s="1"/>
      <c r="D664" s="1"/>
      <c r="E664" s="1"/>
      <c r="F664" s="1"/>
      <c r="G664" s="1"/>
      <c r="H664" s="1"/>
      <c r="I664" s="1"/>
      <c r="J664" s="1"/>
      <c r="K664" s="1"/>
    </row>
    <row r="665" spans="3:11" x14ac:dyDescent="0.4">
      <c r="C665" s="1"/>
      <c r="D665" s="1"/>
      <c r="E665" s="1"/>
      <c r="F665" s="1"/>
      <c r="G665" s="1"/>
      <c r="H665" s="1"/>
      <c r="I665" s="1"/>
      <c r="J665" s="1"/>
      <c r="K665" s="1"/>
    </row>
    <row r="666" spans="3:11" x14ac:dyDescent="0.4">
      <c r="C666" s="1"/>
      <c r="D666" s="1"/>
      <c r="E666" s="1"/>
      <c r="F666" s="1"/>
      <c r="G666" s="1"/>
      <c r="H666" s="1"/>
      <c r="I666" s="1"/>
      <c r="J666" s="1"/>
      <c r="K666" s="1"/>
    </row>
    <row r="667" spans="3:11" x14ac:dyDescent="0.4">
      <c r="C667" s="1"/>
      <c r="D667" s="1"/>
      <c r="E667" s="1"/>
      <c r="F667" s="1"/>
      <c r="G667" s="1"/>
      <c r="H667" s="1"/>
      <c r="I667" s="1"/>
      <c r="J667" s="1"/>
      <c r="K667" s="1"/>
    </row>
    <row r="668" spans="3:11" x14ac:dyDescent="0.4">
      <c r="C668" s="1"/>
      <c r="D668" s="1"/>
      <c r="E668" s="1"/>
      <c r="F668" s="1"/>
      <c r="G668" s="1"/>
      <c r="H668" s="1"/>
      <c r="I668" s="1"/>
      <c r="J668" s="1"/>
      <c r="K668" s="1"/>
    </row>
    <row r="669" spans="3:11" x14ac:dyDescent="0.4">
      <c r="C669" s="1"/>
      <c r="D669" s="1"/>
      <c r="E669" s="1"/>
      <c r="F669" s="1"/>
      <c r="G669" s="1"/>
      <c r="H669" s="1"/>
      <c r="I669" s="1"/>
      <c r="J669" s="1"/>
      <c r="K669" s="1"/>
    </row>
    <row r="670" spans="3:11" x14ac:dyDescent="0.4">
      <c r="C670" s="1"/>
      <c r="D670" s="1"/>
      <c r="E670" s="1"/>
      <c r="F670" s="1"/>
      <c r="G670" s="1"/>
      <c r="H670" s="1"/>
      <c r="I670" s="1"/>
      <c r="J670" s="1"/>
      <c r="K670" s="1"/>
    </row>
    <row r="671" spans="3:11" x14ac:dyDescent="0.4">
      <c r="C671" s="1"/>
      <c r="D671" s="1"/>
      <c r="E671" s="1"/>
      <c r="F671" s="1"/>
      <c r="G671" s="1"/>
      <c r="H671" s="1"/>
      <c r="I671" s="1"/>
      <c r="J671" s="1"/>
      <c r="K671" s="1"/>
    </row>
    <row r="672" spans="3:11" x14ac:dyDescent="0.4">
      <c r="C672" s="1"/>
      <c r="D672" s="1"/>
      <c r="E672" s="1"/>
      <c r="F672" s="1"/>
      <c r="G672" s="1"/>
      <c r="H672" s="1"/>
      <c r="I672" s="1"/>
      <c r="J672" s="1"/>
      <c r="K672" s="1"/>
    </row>
    <row r="673" spans="3:11" x14ac:dyDescent="0.4">
      <c r="C673" s="1"/>
      <c r="D673" s="1"/>
      <c r="E673" s="1"/>
      <c r="F673" s="1"/>
      <c r="G673" s="1"/>
      <c r="H673" s="1"/>
      <c r="I673" s="1"/>
      <c r="J673" s="1"/>
      <c r="K673" s="1"/>
    </row>
    <row r="674" spans="3:11" x14ac:dyDescent="0.4">
      <c r="C674" s="1"/>
      <c r="D674" s="1"/>
      <c r="E674" s="1"/>
      <c r="F674" s="1"/>
      <c r="G674" s="1"/>
      <c r="H674" s="1"/>
      <c r="I674" s="1"/>
      <c r="J674" s="1"/>
      <c r="K674" s="1"/>
    </row>
    <row r="675" spans="3:11" x14ac:dyDescent="0.4">
      <c r="C675" s="1"/>
      <c r="D675" s="1"/>
      <c r="E675" s="1"/>
      <c r="F675" s="1"/>
      <c r="G675" s="1"/>
      <c r="H675" s="1"/>
      <c r="I675" s="1"/>
      <c r="J675" s="1"/>
      <c r="K675" s="1"/>
    </row>
    <row r="676" spans="3:11" x14ac:dyDescent="0.4">
      <c r="C676" s="1"/>
      <c r="D676" s="1"/>
      <c r="E676" s="1"/>
      <c r="F676" s="1"/>
      <c r="G676" s="1"/>
      <c r="H676" s="1"/>
      <c r="I676" s="1"/>
      <c r="J676" s="1"/>
      <c r="K676" s="1"/>
    </row>
    <row r="677" spans="3:11" x14ac:dyDescent="0.4">
      <c r="C677" s="1"/>
      <c r="D677" s="1"/>
      <c r="E677" s="1"/>
      <c r="F677" s="1"/>
      <c r="G677" s="1"/>
      <c r="H677" s="1"/>
      <c r="I677" s="1"/>
      <c r="J677" s="1"/>
      <c r="K677" s="1"/>
    </row>
    <row r="678" spans="3:11" x14ac:dyDescent="0.4">
      <c r="C678" s="1"/>
      <c r="D678" s="1"/>
      <c r="E678" s="1"/>
      <c r="F678" s="1"/>
      <c r="G678" s="1"/>
      <c r="H678" s="1"/>
      <c r="I678" s="1"/>
      <c r="J678" s="1"/>
      <c r="K678" s="1"/>
    </row>
    <row r="679" spans="3:11" x14ac:dyDescent="0.4">
      <c r="C679" s="1"/>
      <c r="D679" s="1"/>
      <c r="E679" s="1"/>
      <c r="F679" s="1"/>
      <c r="G679" s="1"/>
      <c r="H679" s="1"/>
      <c r="I679" s="1"/>
      <c r="J679" s="1"/>
      <c r="K679" s="1"/>
    </row>
    <row r="680" spans="3:11" x14ac:dyDescent="0.4">
      <c r="C680" s="1"/>
      <c r="D680" s="1"/>
      <c r="E680" s="1"/>
      <c r="F680" s="1"/>
      <c r="G680" s="1"/>
      <c r="H680" s="1"/>
      <c r="I680" s="1"/>
      <c r="J680" s="1"/>
      <c r="K680" s="1"/>
    </row>
    <row r="681" spans="3:11" x14ac:dyDescent="0.4">
      <c r="C681" s="1"/>
      <c r="D681" s="1"/>
      <c r="E681" s="1"/>
      <c r="F681" s="1"/>
      <c r="G681" s="1"/>
      <c r="H681" s="1"/>
      <c r="I681" s="1"/>
      <c r="J681" s="1"/>
      <c r="K681" s="1"/>
    </row>
    <row r="682" spans="3:11" x14ac:dyDescent="0.4">
      <c r="C682" s="1"/>
      <c r="D682" s="1"/>
      <c r="E682" s="1"/>
      <c r="F682" s="1"/>
      <c r="G682" s="1"/>
      <c r="H682" s="1"/>
      <c r="I682" s="1"/>
      <c r="J682" s="1"/>
      <c r="K682" s="1"/>
    </row>
    <row r="683" spans="3:11" x14ac:dyDescent="0.4">
      <c r="C683" s="1"/>
      <c r="D683" s="1"/>
      <c r="E683" s="1"/>
      <c r="F683" s="1"/>
      <c r="G683" s="1"/>
      <c r="H683" s="1"/>
      <c r="I683" s="1"/>
      <c r="J683" s="1"/>
      <c r="K683" s="1"/>
    </row>
    <row r="684" spans="3:11" x14ac:dyDescent="0.4">
      <c r="C684" s="1"/>
      <c r="D684" s="1"/>
      <c r="E684" s="1"/>
      <c r="F684" s="1"/>
      <c r="G684" s="1"/>
      <c r="H684" s="1"/>
      <c r="I684" s="1"/>
      <c r="J684" s="1"/>
      <c r="K684" s="1"/>
    </row>
    <row r="685" spans="3:11" x14ac:dyDescent="0.4">
      <c r="C685" s="1"/>
      <c r="D685" s="1"/>
      <c r="E685" s="1"/>
      <c r="F685" s="1"/>
      <c r="G685" s="1"/>
      <c r="H685" s="1"/>
      <c r="I685" s="1"/>
      <c r="J685" s="1"/>
      <c r="K685" s="1"/>
    </row>
    <row r="686" spans="3:11" x14ac:dyDescent="0.4">
      <c r="C686" s="1"/>
      <c r="D686" s="1"/>
      <c r="E686" s="1"/>
      <c r="F686" s="1"/>
      <c r="G686" s="1"/>
      <c r="H686" s="1"/>
      <c r="I686" s="1"/>
      <c r="J686" s="1"/>
      <c r="K686" s="1"/>
    </row>
    <row r="687" spans="3:11" x14ac:dyDescent="0.4">
      <c r="C687" s="1"/>
      <c r="D687" s="1"/>
      <c r="E687" s="1"/>
      <c r="F687" s="1"/>
      <c r="G687" s="1"/>
      <c r="H687" s="1"/>
      <c r="I687" s="1"/>
      <c r="J687" s="1"/>
      <c r="K687" s="1"/>
    </row>
    <row r="688" spans="3:11" x14ac:dyDescent="0.4">
      <c r="C688" s="1"/>
      <c r="D688" s="1"/>
      <c r="E688" s="1"/>
      <c r="F688" s="1"/>
      <c r="G688" s="1"/>
      <c r="H688" s="1"/>
      <c r="I688" s="1"/>
      <c r="J688" s="1"/>
      <c r="K688" s="1"/>
    </row>
    <row r="689" spans="3:11" x14ac:dyDescent="0.4">
      <c r="C689" s="1"/>
      <c r="D689" s="1"/>
      <c r="E689" s="1"/>
      <c r="F689" s="1"/>
      <c r="G689" s="1"/>
      <c r="H689" s="1"/>
      <c r="I689" s="1"/>
      <c r="J689" s="1"/>
      <c r="K689" s="1"/>
    </row>
    <row r="690" spans="3:11" x14ac:dyDescent="0.4">
      <c r="C690" s="1"/>
      <c r="D690" s="1"/>
      <c r="E690" s="1"/>
      <c r="F690" s="1"/>
      <c r="G690" s="1"/>
      <c r="H690" s="1"/>
      <c r="I690" s="1"/>
      <c r="J690" s="1"/>
      <c r="K690" s="1"/>
    </row>
    <row r="691" spans="3:11" x14ac:dyDescent="0.4">
      <c r="C691" s="1"/>
      <c r="D691" s="1"/>
      <c r="E691" s="1"/>
      <c r="F691" s="1"/>
      <c r="G691" s="1"/>
      <c r="H691" s="1"/>
      <c r="I691" s="1"/>
      <c r="J691" s="1"/>
      <c r="K691" s="1"/>
    </row>
    <row r="692" spans="3:11" x14ac:dyDescent="0.4">
      <c r="C692" s="1"/>
      <c r="D692" s="1"/>
      <c r="E692" s="1"/>
      <c r="F692" s="1"/>
      <c r="G692" s="1"/>
      <c r="H692" s="1"/>
      <c r="I692" s="1"/>
      <c r="J692" s="1"/>
      <c r="K692" s="1"/>
    </row>
    <row r="693" spans="3:11" x14ac:dyDescent="0.4">
      <c r="C693" s="1"/>
      <c r="D693" s="1"/>
      <c r="E693" s="1"/>
      <c r="F693" s="1"/>
      <c r="G693" s="1"/>
      <c r="H693" s="1"/>
      <c r="I693" s="1"/>
      <c r="J693" s="1"/>
      <c r="K693" s="1"/>
    </row>
    <row r="694" spans="3:11" x14ac:dyDescent="0.4">
      <c r="C694" s="1"/>
      <c r="D694" s="1"/>
      <c r="E694" s="1"/>
      <c r="F694" s="1"/>
      <c r="G694" s="1"/>
      <c r="H694" s="1"/>
      <c r="I694" s="1"/>
      <c r="J694" s="1"/>
      <c r="K694" s="1"/>
    </row>
    <row r="695" spans="3:11" x14ac:dyDescent="0.4">
      <c r="C695" s="1"/>
      <c r="D695" s="1"/>
      <c r="E695" s="1"/>
      <c r="F695" s="1"/>
      <c r="G695" s="1"/>
      <c r="H695" s="1"/>
      <c r="I695" s="1"/>
      <c r="J695" s="1"/>
      <c r="K695" s="1"/>
    </row>
    <row r="696" spans="3:11" x14ac:dyDescent="0.4">
      <c r="C696" s="1"/>
      <c r="D696" s="1"/>
      <c r="E696" s="1"/>
      <c r="F696" s="1"/>
      <c r="G696" s="1"/>
      <c r="H696" s="1"/>
      <c r="I696" s="1"/>
      <c r="J696" s="1"/>
      <c r="K696" s="1"/>
    </row>
    <row r="697" spans="3:11" x14ac:dyDescent="0.4">
      <c r="C697" s="1"/>
      <c r="D697" s="1"/>
      <c r="E697" s="1"/>
      <c r="F697" s="1"/>
      <c r="G697" s="1"/>
      <c r="H697" s="1"/>
      <c r="I697" s="1"/>
      <c r="J697" s="1"/>
      <c r="K697" s="1"/>
    </row>
    <row r="698" spans="3:11" x14ac:dyDescent="0.4">
      <c r="C698" s="1"/>
      <c r="D698" s="1"/>
      <c r="E698" s="1"/>
      <c r="F698" s="1"/>
      <c r="G698" s="1"/>
      <c r="H698" s="1"/>
      <c r="I698" s="1"/>
      <c r="J698" s="1"/>
      <c r="K698" s="1"/>
    </row>
    <row r="699" spans="3:11" x14ac:dyDescent="0.4">
      <c r="C699" s="1"/>
      <c r="D699" s="1"/>
      <c r="E699" s="1"/>
      <c r="F699" s="1"/>
      <c r="G699" s="1"/>
      <c r="H699" s="1"/>
      <c r="I699" s="1"/>
      <c r="J699" s="1"/>
      <c r="K699" s="1"/>
    </row>
    <row r="700" spans="3:11" x14ac:dyDescent="0.4">
      <c r="C700" s="1"/>
      <c r="D700" s="1"/>
      <c r="E700" s="1"/>
      <c r="F700" s="1"/>
      <c r="G700" s="1"/>
      <c r="H700" s="1"/>
      <c r="I700" s="1"/>
      <c r="J700" s="1"/>
      <c r="K700" s="1"/>
    </row>
    <row r="701" spans="3:11" x14ac:dyDescent="0.4">
      <c r="C701" s="1"/>
      <c r="D701" s="1"/>
      <c r="E701" s="1"/>
      <c r="F701" s="1"/>
      <c r="G701" s="1"/>
      <c r="H701" s="1"/>
      <c r="I701" s="1"/>
      <c r="J701" s="1"/>
      <c r="K701" s="1"/>
    </row>
    <row r="702" spans="3:11" x14ac:dyDescent="0.4">
      <c r="C702" s="1"/>
      <c r="D702" s="1"/>
      <c r="E702" s="1"/>
      <c r="F702" s="1"/>
      <c r="G702" s="1"/>
      <c r="H702" s="1"/>
      <c r="I702" s="1"/>
      <c r="J702" s="1"/>
      <c r="K702" s="1"/>
    </row>
    <row r="703" spans="3:11" x14ac:dyDescent="0.4">
      <c r="C703" s="1"/>
      <c r="D703" s="1"/>
      <c r="E703" s="1"/>
      <c r="F703" s="1"/>
      <c r="G703" s="1"/>
      <c r="H703" s="1"/>
      <c r="I703" s="1"/>
      <c r="J703" s="1"/>
      <c r="K703" s="1"/>
    </row>
    <row r="704" spans="3:11" x14ac:dyDescent="0.4">
      <c r="C704" s="1"/>
      <c r="D704" s="1"/>
      <c r="E704" s="1"/>
      <c r="F704" s="1"/>
      <c r="G704" s="1"/>
      <c r="H704" s="1"/>
      <c r="I704" s="1"/>
      <c r="J704" s="1"/>
      <c r="K704" s="1"/>
    </row>
    <row r="705" spans="3:11" x14ac:dyDescent="0.4">
      <c r="C705" s="1"/>
      <c r="D705" s="1"/>
      <c r="E705" s="1"/>
      <c r="F705" s="1"/>
      <c r="G705" s="1"/>
      <c r="H705" s="1"/>
      <c r="I705" s="1"/>
      <c r="J705" s="1"/>
      <c r="K705" s="1"/>
    </row>
  </sheetData>
  <conditionalFormatting sqref="F91">
    <cfRule type="expression" dxfId="4" priority="11">
      <formula>SUM($F91:F91)&lt;-100</formula>
    </cfRule>
  </conditionalFormatting>
  <conditionalFormatting sqref="F91:K91">
    <cfRule type="expression" dxfId="3" priority="5">
      <formula>SUM($F91:F91)&lt;-100</formula>
    </cfRule>
  </conditionalFormatting>
  <conditionalFormatting sqref="F101:K106">
    <cfRule type="cellIs" dxfId="2" priority="1" operator="greaterThan">
      <formula>F$370+F$374</formula>
    </cfRule>
  </conditionalFormatting>
  <conditionalFormatting sqref="G91">
    <cfRule type="expression" dxfId="1" priority="6">
      <formula>SUM($F91:G91)&lt;-100</formula>
    </cfRule>
  </conditionalFormatting>
  <conditionalFormatting sqref="I183:K183">
    <cfRule type="cellIs" dxfId="0" priority="8" operator="greaterThan">
      <formula>-3</formula>
    </cfRule>
  </conditionalFormatting>
  <dataValidations count="7">
    <dataValidation type="decimal" operator="lessThanOrEqual" allowBlank="1" showInputMessage="1" showErrorMessage="1" errorTitle="Decrease (-)" error="Please input a figure less than or equal zero." sqref="F313:M313" xr:uid="{E57369E5-861B-448F-B15E-ADA0AE01AE9F}">
      <formula1>0</formula1>
    </dataValidation>
    <dataValidation type="decimal" operator="greaterThanOrEqual" allowBlank="1" showInputMessage="1" showErrorMessage="1" errorTitle="Increase (+)" error="Please input a figure greater than or equal to zero." sqref="F305:M306 F308:M308" xr:uid="{311A6A40-ACBF-49A5-ABCC-4F9F8B11BFBD}">
      <formula1>0</formula1>
    </dataValidation>
    <dataValidation type="list" allowBlank="1" showInputMessage="1" showErrorMessage="1" sqref="C30" xr:uid="{5B9BE26B-7A0B-4920-BE22-E15762A2B3D2}">
      <formula1>$C$350:$C$351</formula1>
    </dataValidation>
    <dataValidation type="list" allowBlank="1" showInputMessage="1" showErrorMessage="1" sqref="C34" xr:uid="{7DFEA730-F84D-4C6A-A0E1-85660E3249A5}">
      <formula1>$C$354:$C$355</formula1>
    </dataValidation>
    <dataValidation type="list" allowBlank="1" showInputMessage="1" showErrorMessage="1" sqref="C38" xr:uid="{D2DEF04B-E370-4E80-8AEC-7EC211DE3B90}">
      <formula1>$C$358:$C$359</formula1>
    </dataValidation>
    <dataValidation type="list" allowBlank="1" showInputMessage="1" showErrorMessage="1" sqref="C46" xr:uid="{BBB945A9-CFF5-4BAB-8AE7-7782F763A39E}">
      <formula1>$C$366:$C$367</formula1>
    </dataValidation>
    <dataValidation type="list" allowBlank="1" showInputMessage="1" showErrorMessage="1" sqref="C42" xr:uid="{779BA3F3-DEA9-40D0-AD6A-D2516CF9375D}">
      <formula1>$C$362:$C$363</formula1>
    </dataValidation>
  </dataValidations>
  <hyperlinks>
    <hyperlink ref="C56" location="'Fiscal Space Calculator'!C202" display="Here are some examples of illustrative tax and spending changes" xr:uid="{2793A39F-F4E8-42B2-ADF2-E96CEC93BAB1}"/>
    <hyperlink ref="C279" r:id="rId1" display="Ready Reckoner" xr:uid="{9559D839-855E-41F7-97D4-22C0B6A3B822}"/>
    <hyperlink ref="C280" r:id="rId2" display="PBO Pre-Budget 2023 Ready Reckoner" xr:uid="{4C02E556-66FA-46B4-BECB-A04099A77A94}"/>
  </hyperlinks>
  <pageMargins left="0.70866141732283472" right="0.70866141732283472" top="0.74803149606299213" bottom="0.74803149606299213" header="0.31496062992125984" footer="0.31496062992125984"/>
  <pageSetup paperSize="9" scale="60" orientation="portrait" r:id="rId3"/>
  <ignoredErrors>
    <ignoredError sqref="G177:H177"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a0b20c-aebf-48c8-b046-9030827dd5cd">
      <Terms xmlns="http://schemas.microsoft.com/office/infopath/2007/PartnerControls"/>
    </lcf76f155ced4ddcb4097134ff3c332f>
    <TaxCatchAll xmlns="d9b20b17-c081-4438-907a-bf68943de19a" xsi:nil="true"/>
    <MediaLengthInSeconds xmlns="dea0b20c-aebf-48c8-b046-9030827dd5cd" xsi:nil="true"/>
    <SharedWithUsers xmlns="d9b20b17-c081-4438-907a-bf68943de19a">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F80E0869AE6F47834C62031B984606" ma:contentTypeVersion="18" ma:contentTypeDescription="Create a new document." ma:contentTypeScope="" ma:versionID="8801a69db2a55b2ce129f15aa843b00d">
  <xsd:schema xmlns:xsd="http://www.w3.org/2001/XMLSchema" xmlns:xs="http://www.w3.org/2001/XMLSchema" xmlns:p="http://schemas.microsoft.com/office/2006/metadata/properties" xmlns:ns2="dea0b20c-aebf-48c8-b046-9030827dd5cd" xmlns:ns3="d9b20b17-c081-4438-907a-bf68943de19a" targetNamespace="http://schemas.microsoft.com/office/2006/metadata/properties" ma:root="true" ma:fieldsID="c28de16a71d1c666963c333bb4af5b9b" ns2:_="" ns3:_="">
    <xsd:import namespace="dea0b20c-aebf-48c8-b046-9030827dd5cd"/>
    <xsd:import namespace="d9b20b17-c081-4438-907a-bf68943de1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0b20c-aebf-48c8-b046-9030827dd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7ced03-114a-423c-8459-81da610caf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20b17-c081-4438-907a-bf68943de1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b0f98a-8582-496d-ab78-3f6949400293}" ma:internalName="TaxCatchAll" ma:showField="CatchAllData" ma:web="d9b20b17-c081-4438-907a-bf68943de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4028A-94A4-4720-B59F-5C99807F27BE}">
  <ds:schemaRefs>
    <ds:schemaRef ds:uri="http://schemas.microsoft.com/sharepoint/v3/contenttype/forms"/>
  </ds:schemaRefs>
</ds:datastoreItem>
</file>

<file path=customXml/itemProps2.xml><?xml version="1.0" encoding="utf-8"?>
<ds:datastoreItem xmlns:ds="http://schemas.openxmlformats.org/officeDocument/2006/customXml" ds:itemID="{380C28EB-1E86-450B-AB80-72213650BACE}">
  <ds:schemaRefs>
    <ds:schemaRef ds:uri="http://schemas.microsoft.com/office/2006/documentManagement/types"/>
    <ds:schemaRef ds:uri="http://purl.org/dc/elements/1.1/"/>
    <ds:schemaRef ds:uri="http://schemas.microsoft.com/office/infopath/2007/PartnerControls"/>
    <ds:schemaRef ds:uri="b43fc636-4039-41c6-8f68-66dacc53ed65"/>
    <ds:schemaRef ds:uri="9b652517-ba99-48f9-b92e-9a27eeaed7aa"/>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dea0b20c-aebf-48c8-b046-9030827dd5cd"/>
    <ds:schemaRef ds:uri="d9b20b17-c081-4438-907a-bf68943de19a"/>
  </ds:schemaRefs>
</ds:datastoreItem>
</file>

<file path=customXml/itemProps3.xml><?xml version="1.0" encoding="utf-8"?>
<ds:datastoreItem xmlns:ds="http://schemas.openxmlformats.org/officeDocument/2006/customXml" ds:itemID="{36D874DE-E154-446B-A40D-5A2CC6661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0b20c-aebf-48c8-b046-9030827dd5cd"/>
    <ds:schemaRef ds:uri="d9b20b17-c081-4438-907a-bf68943de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Intro</vt:lpstr>
      <vt:lpstr>Budgetary Resources Calculator</vt:lpstr>
      <vt:lpstr>Calculator</vt:lpstr>
      <vt:lpstr>CalculatorYear</vt:lpstr>
      <vt:lpstr>Controls</vt:lpstr>
      <vt:lpstr>ControlsVariable</vt:lpstr>
      <vt:lpstr>ControlsYear</vt:lpstr>
      <vt:lpstr>'Budgetary Resources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Timoney</dc:creator>
  <cp:keywords/>
  <dc:description/>
  <cp:lastModifiedBy>Eddie Casey</cp:lastModifiedBy>
  <cp:revision/>
  <dcterms:created xsi:type="dcterms:W3CDTF">2019-04-08T12:50:31Z</dcterms:created>
  <dcterms:modified xsi:type="dcterms:W3CDTF">2024-11-04T17:59:23Z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0x010100C0F80E0869AE6F47834C62031B984606</vt:lpwstr>
  </property>
  <property fmtid="{D5CDD505-2E9C-101B-9397-08002B2CF9AE}" pid="3" name="MediaServiceImageTags">
    <vt:lpwstr/>
  </property>
</Properties>
</file>